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6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7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codeName="ThisWorkbook"/>
  <mc:AlternateContent xmlns:mc="http://schemas.openxmlformats.org/markup-compatibility/2006">
    <mc:Choice Requires="x15">
      <x15ac:absPath xmlns:x15ac="http://schemas.microsoft.com/office/spreadsheetml/2010/11/ac" url="D:\PROCESOS\PROCESOS DE CONTRATACION 2023\AÑO 2023\INDICADORES FINANCIEROS\HOG 094. - SISTEMAS CANALES  DE INFORMACION\"/>
    </mc:Choice>
  </mc:AlternateContent>
  <xr:revisionPtr revIDLastSave="0" documentId="13_ncr:1_{2798999B-38BE-46C1-A5AD-C0F56709B71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5" r:id="rId1"/>
    <sheet name="Hoja2" sheetId="6" r:id="rId2"/>
  </sheets>
  <definedNames>
    <definedName name="_xlnm._FilterDatabase" localSheetId="0" hidden="1">hoja1!$A$19:$J$136</definedName>
    <definedName name="_xlnm.Print_Titles" localSheetId="0">hoja1!$19:$19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48" i="5" l="1"/>
  <c r="H248" i="5"/>
  <c r="J248" i="5"/>
  <c r="F248" i="5"/>
  <c r="D248" i="5"/>
  <c r="C231" i="5"/>
  <c r="C232" i="5"/>
  <c r="C233" i="5"/>
  <c r="C234" i="5"/>
  <c r="C235" i="5"/>
  <c r="C236" i="5"/>
  <c r="C237" i="5"/>
  <c r="C223" i="5"/>
  <c r="C222" i="5"/>
  <c r="C221" i="5"/>
  <c r="C220" i="5"/>
  <c r="C219" i="5"/>
  <c r="C218" i="5"/>
  <c r="C217" i="5"/>
  <c r="C209" i="5"/>
  <c r="C208" i="5"/>
  <c r="C207" i="5"/>
  <c r="C206" i="5"/>
  <c r="C205" i="5"/>
  <c r="C204" i="5"/>
  <c r="C203" i="5"/>
  <c r="C194" i="5"/>
  <c r="C193" i="5"/>
  <c r="C192" i="5"/>
  <c r="C191" i="5"/>
  <c r="C190" i="5"/>
  <c r="C181" i="5"/>
  <c r="C180" i="5"/>
  <c r="C179" i="5"/>
  <c r="C178" i="5"/>
  <c r="C177" i="5"/>
  <c r="C176" i="5"/>
  <c r="C175" i="5"/>
  <c r="C166" i="5"/>
  <c r="C165" i="5"/>
  <c r="C164" i="5"/>
  <c r="C156" i="5"/>
  <c r="C155" i="5"/>
  <c r="C154" i="5"/>
  <c r="C153" i="5"/>
  <c r="C152" i="5"/>
  <c r="C151" i="5"/>
  <c r="C150" i="5"/>
  <c r="C149" i="5"/>
  <c r="B138" i="5"/>
  <c r="C294" i="5"/>
  <c r="C289" i="5"/>
  <c r="H11" i="5"/>
  <c r="F11" i="5"/>
  <c r="D143" i="5" l="1"/>
  <c r="D142" i="5"/>
  <c r="D141" i="5"/>
  <c r="D140" i="5"/>
  <c r="G264" i="5" l="1"/>
  <c r="E264" i="5"/>
  <c r="J143" i="5" l="1"/>
  <c r="J142" i="5"/>
  <c r="J141" i="5"/>
  <c r="J140" i="5"/>
  <c r="I143" i="5"/>
  <c r="I142" i="5"/>
  <c r="I141" i="5"/>
  <c r="I140" i="5"/>
  <c r="H143" i="5"/>
  <c r="H142" i="5"/>
  <c r="H141" i="5"/>
  <c r="H140" i="5"/>
  <c r="G143" i="5"/>
  <c r="G142" i="5"/>
  <c r="G141" i="5"/>
  <c r="G140" i="5"/>
  <c r="F143" i="5"/>
  <c r="F142" i="5"/>
  <c r="F141" i="5"/>
  <c r="F140" i="5"/>
  <c r="E143" i="5"/>
  <c r="E142" i="5"/>
  <c r="E141" i="5"/>
  <c r="E140" i="5"/>
  <c r="G248" i="5" l="1"/>
  <c r="E248" i="5"/>
  <c r="D150" i="5"/>
  <c r="D152" i="5"/>
  <c r="D154" i="5"/>
  <c r="D156" i="5"/>
  <c r="D165" i="5"/>
  <c r="D175" i="5"/>
  <c r="D177" i="5"/>
  <c r="D179" i="5"/>
  <c r="D181" i="5"/>
  <c r="D191" i="5"/>
  <c r="D193" i="5"/>
  <c r="D203" i="5"/>
  <c r="D205" i="5"/>
  <c r="D207" i="5"/>
  <c r="D209" i="5"/>
  <c r="D218" i="5"/>
  <c r="D220" i="5"/>
  <c r="D222" i="5"/>
  <c r="D231" i="5"/>
  <c r="D233" i="5"/>
  <c r="D235" i="5"/>
  <c r="D237" i="5"/>
  <c r="D149" i="5"/>
  <c r="D151" i="5"/>
  <c r="D153" i="5"/>
  <c r="D155" i="5"/>
  <c r="D164" i="5"/>
  <c r="D166" i="5"/>
  <c r="D176" i="5"/>
  <c r="D178" i="5"/>
  <c r="D180" i="5"/>
  <c r="D190" i="5"/>
  <c r="D192" i="5"/>
  <c r="D194" i="5"/>
  <c r="D204" i="5"/>
  <c r="D206" i="5"/>
  <c r="D208" i="5"/>
  <c r="D217" i="5"/>
  <c r="D219" i="5"/>
  <c r="D221" i="5"/>
  <c r="D223" i="5"/>
  <c r="D232" i="5"/>
  <c r="D234" i="5"/>
  <c r="D236" i="5"/>
  <c r="C157" i="5"/>
  <c r="C167" i="5"/>
  <c r="C182" i="5"/>
  <c r="C195" i="5"/>
  <c r="C210" i="5"/>
  <c r="C224" i="5"/>
  <c r="C238" i="5"/>
  <c r="D157" i="5" l="1"/>
  <c r="D167" i="5"/>
  <c r="D195" i="5"/>
  <c r="D224" i="5"/>
  <c r="D210" i="5"/>
  <c r="D182" i="5"/>
  <c r="D238" i="5"/>
</calcChain>
</file>

<file path=xl/sharedStrings.xml><?xml version="1.0" encoding="utf-8"?>
<sst xmlns="http://schemas.openxmlformats.org/spreadsheetml/2006/main" count="373" uniqueCount="221">
  <si>
    <t>Nit</t>
  </si>
  <si>
    <t>Razón social de la sociedad</t>
  </si>
  <si>
    <t>Clasificación Industrial Internacional Uniforme Versión 4 A.C</t>
  </si>
  <si>
    <t>LIQUIDEZ</t>
  </si>
  <si>
    <t>CAPITAL DE TRABAJO</t>
  </si>
  <si>
    <t>ENDEUDAMIENTO</t>
  </si>
  <si>
    <t>PATRIMONIO</t>
  </si>
  <si>
    <t>RENTABILIDAD SOBRE ACTIVOS</t>
  </si>
  <si>
    <t>RENTABILIDAD SOBRE PATRIMONIO</t>
  </si>
  <si>
    <t>COBERTURA INTERESES</t>
  </si>
  <si>
    <t>DES. ESTANDAR</t>
  </si>
  <si>
    <t>MINIMO</t>
  </si>
  <si>
    <t>MAXIMO</t>
  </si>
  <si>
    <t>OBJETO:</t>
  </si>
  <si>
    <t>TOTAL</t>
  </si>
  <si>
    <t>CANTIDAD DE EMPRESAS</t>
  </si>
  <si>
    <t>MODALIDAD:</t>
  </si>
  <si>
    <t>% DE LA MUESTRA QUE CUMPLE EL CRITERIO</t>
  </si>
  <si>
    <t>Elaboró:</t>
  </si>
  <si>
    <t>Aprobó:</t>
  </si>
  <si>
    <t>RANGO</t>
  </si>
  <si>
    <t>5,1 - 10</t>
  </si>
  <si>
    <t>20,1 - 30</t>
  </si>
  <si>
    <t>30,1 - 50</t>
  </si>
  <si>
    <t>&gt; 50</t>
  </si>
  <si>
    <t>0 - 1</t>
  </si>
  <si>
    <t>1,1 - 2</t>
  </si>
  <si>
    <t>2,1 - 5</t>
  </si>
  <si>
    <t>10,1 - 20</t>
  </si>
  <si>
    <t>&lt; 0</t>
  </si>
  <si>
    <t xml:space="preserve"> = 0</t>
  </si>
  <si>
    <t>&gt; 0</t>
  </si>
  <si>
    <t>0 - 15%</t>
  </si>
  <si>
    <t>15,1% - 30%</t>
  </si>
  <si>
    <t>30,1% - 45%</t>
  </si>
  <si>
    <t>45,1% - 60%</t>
  </si>
  <si>
    <t>60,1% - 75%</t>
  </si>
  <si>
    <t>75,1% - 90%</t>
  </si>
  <si>
    <t>&gt; 90%</t>
  </si>
  <si>
    <t>0 - $10m</t>
  </si>
  <si>
    <t>$10m - $100m</t>
  </si>
  <si>
    <t>&gt; $100m</t>
  </si>
  <si>
    <t>Gastos de intereses = 0</t>
  </si>
  <si>
    <t>2,1 - 4</t>
  </si>
  <si>
    <t>4,1 - 6</t>
  </si>
  <si>
    <t>&gt; 6</t>
  </si>
  <si>
    <t>CANTIDAD DE EMPRESAS IDENTIFICADAS COMO MUESTRA PARA EL ANALISIS:</t>
  </si>
  <si>
    <t>2,1 - 3</t>
  </si>
  <si>
    <t>3,1 - 4</t>
  </si>
  <si>
    <t>&gt; 4</t>
  </si>
  <si>
    <t>0 - 2</t>
  </si>
  <si>
    <t>6,1 - 8</t>
  </si>
  <si>
    <t>&gt; 8</t>
  </si>
  <si>
    <t>OBJETO</t>
  </si>
  <si>
    <t>VALOR</t>
  </si>
  <si>
    <t>Valores Expresados en Miles de $</t>
  </si>
  <si>
    <t>Clasificación Internacional Industrial Uniforme (CIIU) Versión 4.</t>
  </si>
  <si>
    <t>PROMEDIO</t>
  </si>
  <si>
    <t>Plazo de ejecución (meses)</t>
  </si>
  <si>
    <t>ANÁLISIS DE SECTOR – INFORMACIÓN FINANCIERA</t>
  </si>
  <si>
    <t>DIRECCIÓN FINANCIERA</t>
  </si>
  <si>
    <t>PROCESOS DE CONTRATACIÓN</t>
  </si>
  <si>
    <t>Fuente de Información: PIE (Portal de Información Empresarial) - Superintendencia de Sociedades</t>
  </si>
  <si>
    <t>Presupuesto del 
Proceso ($)</t>
  </si>
  <si>
    <t>RECOMENDACIÓN SUGERIDA INICIAL:</t>
  </si>
  <si>
    <t>1. CÁLCULO 
ESTADÍSTICO</t>
  </si>
  <si>
    <t>D) Patrimonio = Activo total - Pasivo total.
Mide la cantidad de recursos propios del proponente.</t>
  </si>
  <si>
    <t>E) Razón de Cobertura de Intereses = Utilidad Operacional / Gastos de Intereses.
Es la capacidad del proponente de cumplir con sus obligaciones financieras. A mayor cobertura de intereses, menor es la probabilidad de que el proponente incumpla sus obligaciones financieras.</t>
  </si>
  <si>
    <t>F) Rentabilidad sobre activos = Utilidad Operacional / Activo Total.
Determina la rentabilidad de los activos del proponente, es decir, la capacidad de generación de utilidad operacional por cada peso invertido en el activo. A mayor rentabilidad sobre activos, mayor es la rentabilidad del negocio y mejor la capacidad organizacional del proponente.</t>
  </si>
  <si>
    <t>C) Índice de Endeudamiento = Pasivo Total / Activo Total.
Determina el grado de endeudamiento en la estructura de financiación (pasivos y patrimonio) del proponente. A mayor índice de endeudamiento, mayor es la probabilidad del proponente de no poder cumplir con sus pasivos.</t>
  </si>
  <si>
    <t>B) Capital de trabajo = Activo corriente - Pasivo corriente.
Representa la liquidez operativa del proponente, es decir el remanente del proponente luego de liquidar sus activos corrientes (convertirlos en efectivo) y pagar el pasivo de corto plazo.</t>
  </si>
  <si>
    <t xml:space="preserve">A) Indice de Liquidez = Activo corriente / Pasivo corriente.
Indicador que determina la capacidad que tiene un proponente para cumplir con sus obligaciones de corto plazo. A mayor índice de liquidez, menor es la probabilidad de que el proponente incumpla sus obligaciones de corto plazo. </t>
  </si>
  <si>
    <t>F) Rentabilidad sobre patrimonio: Utilidad Operacional / Patrimonio.
Determina la rentabilidad del patrimonio del proponente, es decir, la capacidad de generación de utilidad operacional por cada peso invertido en el patrimonio. A mayor rentabilidad sobre el patrimonio, mayor es la rentabilidad de los accionistas y mejor la capacidad organizacional del proponente.</t>
  </si>
  <si>
    <t>0 - 1,1</t>
  </si>
  <si>
    <t>1,2 - 2</t>
  </si>
  <si>
    <r>
      <t xml:space="preserve">LIQUIDEZ
</t>
    </r>
    <r>
      <rPr>
        <sz val="9"/>
        <color theme="1"/>
        <rFont val="Work Sans"/>
      </rPr>
      <t>MAYOR O IGUAL A</t>
    </r>
  </si>
  <si>
    <t>ENTIDAD Y AÑO</t>
  </si>
  <si>
    <r>
      <t xml:space="preserve">ENDEUDAMIENTO
</t>
    </r>
    <r>
      <rPr>
        <sz val="9"/>
        <color theme="1"/>
        <rFont val="Work Sans"/>
      </rPr>
      <t>MENOR O IGUAL A</t>
    </r>
  </si>
  <si>
    <r>
      <t xml:space="preserve">PATRIMONIO
</t>
    </r>
    <r>
      <rPr>
        <sz val="9"/>
        <color theme="1"/>
        <rFont val="Work Sans"/>
      </rPr>
      <t>MAYOR O IGUAL A</t>
    </r>
  </si>
  <si>
    <r>
      <t xml:space="preserve">COBERTURA INTERESES
</t>
    </r>
    <r>
      <rPr>
        <sz val="9"/>
        <color theme="1"/>
        <rFont val="Work Sans"/>
      </rPr>
      <t>MAYOR O IGUAL A</t>
    </r>
  </si>
  <si>
    <r>
      <t xml:space="preserve">RENTABILIDAD SOBRE ACTIVOS
</t>
    </r>
    <r>
      <rPr>
        <sz val="9"/>
        <color theme="1"/>
        <rFont val="Work Sans"/>
      </rPr>
      <t>MAYOR O IGUAL A</t>
    </r>
  </si>
  <si>
    <r>
      <t xml:space="preserve">RENTABILIDAD SOBRE PATRIMONIO
</t>
    </r>
    <r>
      <rPr>
        <sz val="9"/>
        <color theme="1"/>
        <rFont val="Work Sans"/>
      </rPr>
      <t>MAYOR O IGUAL A</t>
    </r>
  </si>
  <si>
    <r>
      <t xml:space="preserve">CAPITAL DE TRABAJO
</t>
    </r>
    <r>
      <rPr>
        <sz val="9"/>
        <color theme="1"/>
        <rFont val="Work Sans"/>
      </rPr>
      <t>MAYOR O IGUAL A</t>
    </r>
    <r>
      <rPr>
        <b/>
        <sz val="9"/>
        <color theme="1"/>
        <rFont val="Work Sans"/>
      </rPr>
      <t xml:space="preserve">
</t>
    </r>
  </si>
  <si>
    <t>2. COMPORTAMIENTO DE LOS ÍNDICES EN LA MUESTRA DEL SECTOR</t>
  </si>
  <si>
    <t>4. CONCLUSIONES</t>
  </si>
  <si>
    <t>CRITERIOS RECOMENDADOS:</t>
  </si>
  <si>
    <t>ANÁLISIS DEL SECTOR</t>
  </si>
  <si>
    <t>3. ANALISIS DEL SECTOR DE ACUERDO CON LOS PROCESOS REALIZADOS POR OTRAS ENTIDADES PÚBLICAS O EN LA AEROCIVIL EN VIG ANT. DE LA MISMA NATURALEZA DEL OBJETO CONTRACTUAL DEL PRESENTO PROCESO.</t>
  </si>
  <si>
    <t>Henry Oviedo Gongora - Contratista Dirección Financiera</t>
  </si>
  <si>
    <t>Héctor Rodriguez Gonzalez - Director Financiero</t>
  </si>
  <si>
    <t>COLSOF SAS</t>
  </si>
  <si>
    <t>G4741 - Comercio al por menor de computadores, equipos periféricos, programas de informática y equipos de telecomunicaciones en establecimientos especializados</t>
  </si>
  <si>
    <t>WM WIRELESS &amp; MOBILE SAS</t>
  </si>
  <si>
    <t>LINALCA INFORMATICA S.A.S-BIC</t>
  </si>
  <si>
    <t>HARDWARE ASESORIAS SOFTWARE LTDA</t>
  </si>
  <si>
    <t>ZEUS TECNOLOGIA SAS</t>
  </si>
  <si>
    <t>COMPULAGO S.A.S</t>
  </si>
  <si>
    <t>INGENIERIA ASISITIDA POR COMPUTADOR SAS</t>
  </si>
  <si>
    <t>CDM EQUIPOS SA</t>
  </si>
  <si>
    <t>I2 SISTEMAS Y SEGURIDAD INFORMATICA LTDA</t>
  </si>
  <si>
    <t>NUEVA ERA SOLUCIONES SAS</t>
  </si>
  <si>
    <t>INFOTRACK S A</t>
  </si>
  <si>
    <t>APICOM SAS</t>
  </si>
  <si>
    <t>CEL UNION SAS</t>
  </si>
  <si>
    <t>NEMESIS ASOCIADOS SA</t>
  </si>
  <si>
    <t>SOLUCIONES, TECNOLOGIA Y SERVICIOS STS SAS</t>
  </si>
  <si>
    <t>PROCALCULO PROSIS S.A.S</t>
  </si>
  <si>
    <t>AGILITIX SAS</t>
  </si>
  <si>
    <t>INGENICO COLOMBIA LTDA</t>
  </si>
  <si>
    <t>MCAFEE COLOMBIA LTDA</t>
  </si>
  <si>
    <t>MULTINTEGRAL SAS</t>
  </si>
  <si>
    <t>EUROCOL RENTING SAS</t>
  </si>
  <si>
    <t>CEM ELECTRONIX S.A.S</t>
  </si>
  <si>
    <t>ACRE COLOMBIA SAS</t>
  </si>
  <si>
    <t>FOTO JAPONESA  POVE SASA</t>
  </si>
  <si>
    <t>DATUM INGENIERIA SAS</t>
  </si>
  <si>
    <t>LINEADATASCAN SA</t>
  </si>
  <si>
    <t>COMUNICACIONES MOVILES CONMOVIL S.A.</t>
  </si>
  <si>
    <t>ESRI COLOMBIA SAS</t>
  </si>
  <si>
    <t>COLOMBIANA DE COMERCIO SA</t>
  </si>
  <si>
    <t>Capital de Trabajo: 2,5* (PO/n)</t>
  </si>
  <si>
    <t>Patrimonio:
  (40% del PO)</t>
  </si>
  <si>
    <t>FABRICA COLOMBIANA DE CONDUCTORES ELECTRICOS</t>
  </si>
  <si>
    <t>C2731 - Fabricación de hilos y cables eléctricos y de fibra óptica</t>
  </si>
  <si>
    <t>PRODUCTORA DE CABLES PROCABLES SAS</t>
  </si>
  <si>
    <t>NEXANS COLOMBIA SAS</t>
  </si>
  <si>
    <t>CABLES DE ENERGIA Y DE TELECOMUNICACIONES S.A.S</t>
  </si>
  <si>
    <t>SISTELEN S.A.S</t>
  </si>
  <si>
    <t>FURUKAWA INDUSTRIAL COLOMBIA SAS FURUKAWA INDUSTRIAL COLOMBIA SAS</t>
  </si>
  <si>
    <t>PUNTOS Y MERCADOS SAS</t>
  </si>
  <si>
    <t>G4652 - Comercio al por mayor de equipo, partes y piezas electrónicos y de telecomunicaciones</t>
  </si>
  <si>
    <t>BALUM S.A.</t>
  </si>
  <si>
    <t>IMPORTADORA ELECTRONICA S.A.  IMPORTRONIC S.A.</t>
  </si>
  <si>
    <t>LATINOAMERICANA TCA</t>
  </si>
  <si>
    <t>Electronica AVS SAS</t>
  </si>
  <si>
    <t>ENERGITEL SAS</t>
  </si>
  <si>
    <t>SECURITY VIDEO EQUIPMENT SAS</t>
  </si>
  <si>
    <t>ANIXTER COLOMBIA SAS</t>
  </si>
  <si>
    <t>Samsung Electronics Colombia S.A.</t>
  </si>
  <si>
    <t>EAGLE COMMERCIAL SOCIEDAD ANONIMA</t>
  </si>
  <si>
    <t>CABLE SERVICIOS SA</t>
  </si>
  <si>
    <t>COMPAÑIA INTERNACIONAL DE INTEGRACION SA</t>
  </si>
  <si>
    <t>CIBERC SA</t>
  </si>
  <si>
    <t>EGC COLOMBIA SAS</t>
  </si>
  <si>
    <t>IIOCOM SAS</t>
  </si>
  <si>
    <t>NEWSAT SAS</t>
  </si>
  <si>
    <t>Protecvolt Limitada</t>
  </si>
  <si>
    <t>COMPAÑIA COMERCIAL CURACAO DE COLOMBIA SA</t>
  </si>
  <si>
    <t>MATERIALES ELECTRICOS Y MECANICOS SAS</t>
  </si>
  <si>
    <t>RAYCO S.A. RODRIGO ARISTIZABAL Y CIA S.A.</t>
  </si>
  <si>
    <t>AGM BUSINESS SAS</t>
  </si>
  <si>
    <t>INGENIERIA  Y SERVICIO ESPECIALIZADO DE COMUNICACIONES S.A  ISEC S.A</t>
  </si>
  <si>
    <t>MICROLINK SAS</t>
  </si>
  <si>
    <t>TECNODIESEL SAS</t>
  </si>
  <si>
    <t>SUMINISTROS ELECTRICOS E INDUSTRIALES SUMILEC SA</t>
  </si>
  <si>
    <t>TEAM COMMUNICATIONS S.A.</t>
  </si>
  <si>
    <t>MN FOTO SAS</t>
  </si>
  <si>
    <t>HEIMCORE SAS</t>
  </si>
  <si>
    <t>MACROTICS SAS</t>
  </si>
  <si>
    <t>FURUKAWA COLOMBIA SAS</t>
  </si>
  <si>
    <t>TE CONNECTIVITY COLOMBIA SAS</t>
  </si>
  <si>
    <t>TELESOURCE SAS</t>
  </si>
  <si>
    <t>HV TELEVISION SAS</t>
  </si>
  <si>
    <t>J6110 - Actividades de telecomunicaciones alámbricas</t>
  </si>
  <si>
    <t>MEDIA COMMERCE PARTNERS SAS</t>
  </si>
  <si>
    <t>830078515</t>
  </si>
  <si>
    <t>Infraestructura Celular Colombiana S.A - ESP</t>
  </si>
  <si>
    <t>CICSA COLOMBIA SAS</t>
  </si>
  <si>
    <t>TELXIUS CABLE COLOMBIA S A</t>
  </si>
  <si>
    <t>GLOBENET CABOS SUBMARINOS COLOMBIA S A S</t>
  </si>
  <si>
    <t>TSG THE IT EXPERTS S.A.S.</t>
  </si>
  <si>
    <t>J6120 - Actividades de telecomunicaciones inalámbricas</t>
  </si>
  <si>
    <t>COMUNICACIÓN CELULAR S.A.</t>
  </si>
  <si>
    <t>MERCANET SAS</t>
  </si>
  <si>
    <t>MELTEC COMUNICACIONES SA</t>
  </si>
  <si>
    <t>ITELCA SAS</t>
  </si>
  <si>
    <t>J6190 - Otras actividades de telecomunicaciones</t>
  </si>
  <si>
    <t>CIRION TECHNOLOGIES COLOMBIA SAS</t>
  </si>
  <si>
    <t>VERIZON COLOMBIA S.A.</t>
  </si>
  <si>
    <t>COMPAÑIA COLOMBIANA DE SERVICIOS DE VALOR AGREGADO Y TELEMATICOS COLVATEL S.A. E.S.P.</t>
  </si>
  <si>
    <t>SISTEMAS Y TELECOMUNICACIONES DEL ORIENTE SAS</t>
  </si>
  <si>
    <t>INGENIERIA DE SISTEMAS TELEMATICOS S.A.</t>
  </si>
  <si>
    <t>DIALNET DE COLOMBIA SA ESP</t>
  </si>
  <si>
    <t>INFOMEDIA SERVICE S.A.</t>
  </si>
  <si>
    <t>FIBERNET TELECOMUNICACIONES</t>
  </si>
  <si>
    <t>AT&amp;T GLOBAL NETWORK SERVICES COLOMBIA LTDA</t>
  </si>
  <si>
    <t>AXEDE SAS EN REORGANIZACIÓN</t>
  </si>
  <si>
    <t>AXURE TECHNOLOGIES SA</t>
  </si>
  <si>
    <t>TECH MAHINDRA COLOMBIA SAS</t>
  </si>
  <si>
    <t>SITA INFORMATION NETWORKING COMPUTING COLOMBIA S.A.</t>
  </si>
  <si>
    <t>CONECTAR TV SAS</t>
  </si>
  <si>
    <t>DICO TELECOMUNICACIONES SA</t>
  </si>
  <si>
    <t>TRACKER DE COLOMBIA SAS</t>
  </si>
  <si>
    <t>SERVICIOS INTEGRALES DE TECNOLOGIA PARA REDES DE COMUNICACIONES INTELRED SAS</t>
  </si>
  <si>
    <t>TELEMATICA SAS</t>
  </si>
  <si>
    <t>ERICSSON DE COLOMBIA S.A.S.</t>
  </si>
  <si>
    <t>ANDITEL S.A.S</t>
  </si>
  <si>
    <t>ENERCOM S.A.</t>
  </si>
  <si>
    <t>AMOV COLOMBIA S.A.</t>
  </si>
  <si>
    <t>UNIFY LTDA</t>
  </si>
  <si>
    <t>NOKIA SOLUTIONS AND NETWORKS COLOMBIA LTDA</t>
  </si>
  <si>
    <t>OPERACION Y GESTION INTEGRAL SAS</t>
  </si>
  <si>
    <t>SOLUCIONES DE TECNOLOGIA E INGENIERIA SAS</t>
  </si>
  <si>
    <t xml:space="preserve">TIVIT COLOMBIA DC TERCERIZACION DE PROCESOS, SERVICIOS Y TECNOLOGIA S.A.S. </t>
  </si>
  <si>
    <t>3D MOBILE 3DM SAS</t>
  </si>
  <si>
    <t>.CO INTERNET S.A.S</t>
  </si>
  <si>
    <t>YEAPDATA SAS</t>
  </si>
  <si>
    <t>ZTE COLOMBIA SAS</t>
  </si>
  <si>
    <t>GENESYS TELECOMMUNICATIONS LABORATORIES COLOMBIA LTDA</t>
  </si>
  <si>
    <t>GRUPO ECUTEL SAS</t>
  </si>
  <si>
    <t>TELEFÓNICA GLOBAL SOLUTIONS COLOMBIA, S.A.S</t>
  </si>
  <si>
    <t>NETCOL INGENIERIA SAS BIC</t>
  </si>
  <si>
    <t>38000C0918 CANALES COMUNICACIÓN SISTEMAS DE INFORMACION</t>
  </si>
  <si>
    <t>MAYOR O IGUAL A 
$ 2,139,100,000</t>
  </si>
  <si>
    <t>MAYOR O IGUAL A 
$ 10,610.000,000</t>
  </si>
  <si>
    <t>VIGENCIA</t>
  </si>
  <si>
    <t xml:space="preserve">PRESUPUESTO </t>
  </si>
  <si>
    <t>MAYOR O IGUAL A 
1,0 VECES</t>
  </si>
  <si>
    <t>MENOR O IGUAL A 
80%</t>
  </si>
  <si>
    <t>MAYOR O IGUAL A 
1 VECES</t>
  </si>
  <si>
    <t>MAYOR O IGUAL A 
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</si>
</sst>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\ #,##0;[Red]\-&quot;$&quot;\ #,##0"/>
    <numFmt numFmtId="164" formatCode="_(* #,##0.00_);_(* \(#,##0.00\);_(* &quot;-&quot;??_);_(@_)"/>
    <numFmt numFmtId="165" formatCode="_-* #,##0.00\ _€_-;\-* #,##0.00\ _€_-;_-* &quot;-&quot;??\ _€_-;_-@_-"/>
    <numFmt numFmtId="166" formatCode="#,##0.0"/>
    <numFmt numFmtId="167" formatCode="&quot;$&quot;#,##0"/>
    <numFmt numFmtId="168" formatCode="_-* #,##0\ _€_-;\-* #,##0\ _€_-;_-* &quot;-&quot;??\ _€_-;_-@_-"/>
    <numFmt numFmtId="169" formatCode="&quot;$&quot;\ #,##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Work Sans"/>
    </font>
    <font>
      <b/>
      <sz val="9"/>
      <color theme="1"/>
      <name val="Work Sans"/>
    </font>
    <font>
      <sz val="9"/>
      <color theme="1"/>
      <name val="Work Sans"/>
    </font>
    <font>
      <b/>
      <sz val="9"/>
      <name val="Arial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sz val="11"/>
      <name val="Calibri"/>
      <family val="2"/>
      <scheme val="minor"/>
    </font>
    <font>
      <sz val="10"/>
      <color theme="1"/>
      <name val="Arial"/>
      <family val="2"/>
    </font>
    <font>
      <sz val="11"/>
      <name val="Calibri"/>
      <family val="2"/>
    </font>
    <font>
      <sz val="10"/>
      <color rgb="FF000000"/>
      <name val="Arial"/>
      <family val="2"/>
    </font>
    <font>
      <sz val="11"/>
      <color theme="1"/>
      <name val="Microsoft Sans Serif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ck">
        <color auto="1"/>
      </right>
      <top style="thin">
        <color auto="1"/>
      </top>
      <bottom style="double">
        <color auto="1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8">
    <xf numFmtId="0" fontId="0" fillId="0" borderId="0" xfId="0"/>
    <xf numFmtId="0" fontId="2" fillId="0" borderId="0" xfId="0" applyFont="1" applyAlignment="1">
      <alignment vertical="center"/>
    </xf>
    <xf numFmtId="0" fontId="4" fillId="0" borderId="4" xfId="0" applyFont="1" applyBorder="1" applyAlignment="1">
      <alignment horizontal="center" vertical="center"/>
    </xf>
    <xf numFmtId="3" fontId="4" fillId="0" borderId="4" xfId="0" applyNumberFormat="1" applyFont="1" applyBorder="1" applyAlignment="1">
      <alignment horizontal="center" vertical="center"/>
    </xf>
    <xf numFmtId="10" fontId="4" fillId="0" borderId="4" xfId="2" applyNumberFormat="1" applyFont="1" applyBorder="1" applyAlignment="1">
      <alignment horizontal="center" vertical="center"/>
    </xf>
    <xf numFmtId="16" fontId="4" fillId="0" borderId="4" xfId="0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horizontal="center" vertical="center"/>
    </xf>
    <xf numFmtId="10" fontId="3" fillId="0" borderId="4" xfId="2" applyNumberFormat="1" applyFont="1" applyBorder="1" applyAlignment="1">
      <alignment horizontal="center" vertical="center"/>
    </xf>
    <xf numFmtId="10" fontId="3" fillId="0" borderId="0" xfId="2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0" fontId="4" fillId="0" borderId="0" xfId="2" applyNumberFormat="1" applyFont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 wrapText="1"/>
    </xf>
    <xf numFmtId="166" fontId="6" fillId="2" borderId="0" xfId="0" applyNumberFormat="1" applyFont="1" applyFill="1" applyBorder="1" applyAlignment="1">
      <alignment horizontal="center" vertical="center" wrapText="1"/>
    </xf>
    <xf numFmtId="166" fontId="8" fillId="0" borderId="0" xfId="3" applyNumberFormat="1" applyFont="1" applyFill="1" applyBorder="1" applyAlignment="1">
      <alignment horizontal="center"/>
    </xf>
    <xf numFmtId="0" fontId="8" fillId="0" borderId="0" xfId="0" applyFont="1" applyFill="1" applyBorder="1"/>
    <xf numFmtId="0" fontId="8" fillId="0" borderId="0" xfId="0" applyNumberFormat="1" applyFont="1"/>
    <xf numFmtId="0" fontId="8" fillId="0" borderId="0" xfId="0" applyFont="1"/>
    <xf numFmtId="0" fontId="6" fillId="0" borderId="0" xfId="0" applyFont="1"/>
    <xf numFmtId="0" fontId="6" fillId="0" borderId="0" xfId="0" applyFont="1" applyBorder="1"/>
    <xf numFmtId="0" fontId="6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8" fillId="0" borderId="0" xfId="0" applyFont="1" applyFill="1"/>
    <xf numFmtId="167" fontId="8" fillId="0" borderId="0" xfId="0" applyNumberFormat="1" applyFont="1"/>
    <xf numFmtId="0" fontId="6" fillId="4" borderId="2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left" vertical="center" wrapText="1"/>
    </xf>
    <xf numFmtId="0" fontId="6" fillId="0" borderId="8" xfId="0" applyFont="1" applyFill="1" applyBorder="1" applyAlignment="1">
      <alignment horizontal="center" vertical="center"/>
    </xf>
    <xf numFmtId="167" fontId="8" fillId="0" borderId="2" xfId="0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3" fontId="6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wrapText="1"/>
    </xf>
    <xf numFmtId="0" fontId="6" fillId="4" borderId="1" xfId="0" applyNumberFormat="1" applyFont="1" applyFill="1" applyBorder="1" applyAlignment="1">
      <alignment horizontal="center" wrapText="1"/>
    </xf>
    <xf numFmtId="0" fontId="6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10" fontId="4" fillId="0" borderId="9" xfId="2" applyNumberFormat="1" applyFont="1" applyBorder="1" applyAlignment="1">
      <alignment horizontal="center" vertical="center"/>
    </xf>
    <xf numFmtId="10" fontId="3" fillId="0" borderId="9" xfId="2" applyNumberFormat="1" applyFont="1" applyBorder="1" applyAlignment="1">
      <alignment horizontal="center" vertical="center"/>
    </xf>
    <xf numFmtId="0" fontId="3" fillId="0" borderId="9" xfId="0" applyFont="1" applyFill="1" applyBorder="1" applyAlignment="1">
      <alignment vertical="center"/>
    </xf>
    <xf numFmtId="0" fontId="3" fillId="0" borderId="9" xfId="0" applyFont="1" applyBorder="1" applyAlignment="1">
      <alignment vertical="center"/>
    </xf>
    <xf numFmtId="10" fontId="4" fillId="0" borderId="5" xfId="2" applyNumberFormat="1" applyFont="1" applyBorder="1" applyAlignment="1">
      <alignment horizontal="center" vertical="center"/>
    </xf>
    <xf numFmtId="10" fontId="3" fillId="0" borderId="5" xfId="2" applyNumberFormat="1" applyFont="1" applyBorder="1" applyAlignment="1">
      <alignment horizontal="center" vertical="center"/>
    </xf>
    <xf numFmtId="0" fontId="3" fillId="0" borderId="9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center"/>
    </xf>
    <xf numFmtId="168" fontId="8" fillId="0" borderId="0" xfId="1" applyNumberFormat="1" applyFont="1"/>
    <xf numFmtId="0" fontId="6" fillId="0" borderId="10" xfId="0" applyFont="1" applyFill="1" applyBorder="1" applyAlignment="1">
      <alignment vertical="center"/>
    </xf>
    <xf numFmtId="0" fontId="8" fillId="0" borderId="0" xfId="0" applyFont="1" applyBorder="1"/>
    <xf numFmtId="9" fontId="3" fillId="0" borderId="11" xfId="2" applyNumberFormat="1" applyFont="1" applyFill="1" applyBorder="1" applyAlignment="1">
      <alignment horizontal="center" vertical="center" wrapText="1"/>
    </xf>
    <xf numFmtId="9" fontId="3" fillId="0" borderId="12" xfId="2" applyNumberFormat="1" applyFont="1" applyFill="1" applyBorder="1" applyAlignment="1">
      <alignment horizontal="center" vertical="center" wrapText="1"/>
    </xf>
    <xf numFmtId="0" fontId="7" fillId="0" borderId="4" xfId="0" applyFont="1" applyFill="1" applyBorder="1"/>
    <xf numFmtId="0" fontId="7" fillId="0" borderId="4" xfId="0" applyFont="1" applyFill="1" applyBorder="1" applyAlignment="1"/>
    <xf numFmtId="166" fontId="7" fillId="0" borderId="4" xfId="3" applyNumberFormat="1" applyFont="1" applyFill="1" applyBorder="1" applyAlignment="1">
      <alignment horizontal="center"/>
    </xf>
    <xf numFmtId="169" fontId="8" fillId="0" borderId="0" xfId="3" applyNumberFormat="1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 vertical="center" wrapText="1"/>
    </xf>
    <xf numFmtId="3" fontId="8" fillId="0" borderId="4" xfId="3" applyNumberFormat="1" applyFont="1" applyFill="1" applyBorder="1" applyAlignment="1">
      <alignment horizontal="center"/>
    </xf>
    <xf numFmtId="169" fontId="7" fillId="0" borderId="4" xfId="3" applyNumberFormat="1" applyFont="1" applyFill="1" applyBorder="1" applyAlignment="1"/>
    <xf numFmtId="169" fontId="9" fillId="0" borderId="4" xfId="0" applyNumberFormat="1" applyFont="1" applyBorder="1"/>
    <xf numFmtId="9" fontId="8" fillId="0" borderId="4" xfId="2" applyNumberFormat="1" applyFont="1" applyFill="1" applyBorder="1" applyAlignment="1">
      <alignment horizontal="center"/>
    </xf>
    <xf numFmtId="9" fontId="8" fillId="0" borderId="0" xfId="2" applyNumberFormat="1" applyFont="1" applyFill="1" applyBorder="1" applyAlignment="1">
      <alignment horizontal="center"/>
    </xf>
    <xf numFmtId="0" fontId="10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169" fontId="10" fillId="0" borderId="4" xfId="0" applyNumberFormat="1" applyFont="1" applyBorder="1" applyAlignment="1">
      <alignment horizontal="center" vertical="center"/>
    </xf>
    <xf numFmtId="9" fontId="10" fillId="0" borderId="4" xfId="0" applyNumberFormat="1" applyFont="1" applyBorder="1" applyAlignment="1">
      <alignment horizontal="center" vertical="center"/>
    </xf>
    <xf numFmtId="9" fontId="10" fillId="0" borderId="4" xfId="2" applyFont="1" applyBorder="1" applyAlignment="1">
      <alignment horizontal="center" vertical="center"/>
    </xf>
    <xf numFmtId="0" fontId="11" fillId="0" borderId="0" xfId="0" applyFont="1"/>
    <xf numFmtId="169" fontId="8" fillId="0" borderId="0" xfId="3" applyNumberFormat="1" applyFont="1" applyFill="1" applyBorder="1" applyAlignment="1"/>
    <xf numFmtId="9" fontId="8" fillId="0" borderId="0" xfId="2" applyFont="1" applyFill="1" applyBorder="1" applyAlignment="1">
      <alignment horizontal="center"/>
    </xf>
    <xf numFmtId="169" fontId="0" fillId="0" borderId="0" xfId="0" applyNumberFormat="1"/>
    <xf numFmtId="1" fontId="8" fillId="0" borderId="0" xfId="3" applyNumberFormat="1" applyFont="1" applyFill="1" applyBorder="1" applyAlignment="1">
      <alignment horizontal="center"/>
    </xf>
    <xf numFmtId="166" fontId="3" fillId="4" borderId="4" xfId="0" applyNumberFormat="1" applyFont="1" applyFill="1" applyBorder="1" applyAlignment="1">
      <alignment horizontal="center" vertical="center" wrapText="1"/>
    </xf>
    <xf numFmtId="0" fontId="11" fillId="0" borderId="0" xfId="0" applyFont="1" applyFill="1"/>
    <xf numFmtId="167" fontId="8" fillId="0" borderId="2" xfId="0" applyNumberFormat="1" applyFont="1" applyBorder="1" applyAlignment="1">
      <alignment horizontal="center" vertical="center"/>
    </xf>
    <xf numFmtId="9" fontId="3" fillId="0" borderId="12" xfId="2" applyFont="1" applyFill="1" applyBorder="1" applyAlignment="1">
      <alignment horizontal="center" vertical="center" wrapText="1"/>
    </xf>
    <xf numFmtId="9" fontId="3" fillId="0" borderId="13" xfId="2" applyFont="1" applyFill="1" applyBorder="1" applyAlignment="1">
      <alignment horizontal="center" vertical="center" wrapText="1"/>
    </xf>
    <xf numFmtId="10" fontId="0" fillId="0" borderId="0" xfId="0" applyNumberFormat="1"/>
    <xf numFmtId="3" fontId="0" fillId="0" borderId="0" xfId="0" applyNumberFormat="1" applyAlignment="1">
      <alignment horizontal="right"/>
    </xf>
    <xf numFmtId="3" fontId="0" fillId="0" borderId="0" xfId="0" applyNumberFormat="1"/>
    <xf numFmtId="6" fontId="12" fillId="0" borderId="0" xfId="0" applyNumberFormat="1" applyFont="1"/>
    <xf numFmtId="3" fontId="13" fillId="0" borderId="0" xfId="0" applyNumberFormat="1" applyFont="1"/>
    <xf numFmtId="0" fontId="8" fillId="3" borderId="14" xfId="0" applyFont="1" applyFill="1" applyBorder="1"/>
    <xf numFmtId="0" fontId="8" fillId="3" borderId="8" xfId="0" applyFont="1" applyFill="1" applyBorder="1"/>
    <xf numFmtId="166" fontId="6" fillId="2" borderId="8" xfId="0" applyNumberFormat="1" applyFont="1" applyFill="1" applyBorder="1" applyAlignment="1">
      <alignment horizontal="center" vertical="center" wrapText="1"/>
    </xf>
    <xf numFmtId="166" fontId="6" fillId="2" borderId="15" xfId="0" applyNumberFormat="1" applyFont="1" applyFill="1" applyBorder="1" applyAlignment="1">
      <alignment horizontal="center" vertical="center" wrapText="1"/>
    </xf>
    <xf numFmtId="166" fontId="3" fillId="4" borderId="4" xfId="0" applyNumberFormat="1" applyFont="1" applyFill="1" applyBorder="1" applyAlignment="1">
      <alignment horizontal="center" vertical="center" wrapText="1"/>
    </xf>
    <xf numFmtId="166" fontId="8" fillId="0" borderId="0" xfId="1" applyNumberFormat="1" applyFont="1" applyFill="1" applyBorder="1" applyAlignment="1">
      <alignment horizontal="center"/>
    </xf>
    <xf numFmtId="3" fontId="8" fillId="0" borderId="0" xfId="1" applyNumberFormat="1" applyFont="1" applyFill="1" applyBorder="1" applyAlignment="1"/>
    <xf numFmtId="4" fontId="8" fillId="0" borderId="0" xfId="1" applyNumberFormat="1" applyFont="1" applyFill="1" applyBorder="1" applyAlignment="1">
      <alignment horizontal="center"/>
    </xf>
    <xf numFmtId="3" fontId="8" fillId="0" borderId="0" xfId="0" applyNumberFormat="1" applyFont="1"/>
    <xf numFmtId="0" fontId="6" fillId="0" borderId="16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8" fillId="0" borderId="18" xfId="0" applyFont="1" applyBorder="1"/>
    <xf numFmtId="3" fontId="8" fillId="0" borderId="19" xfId="0" applyNumberFormat="1" applyFont="1" applyBorder="1"/>
    <xf numFmtId="0" fontId="6" fillId="0" borderId="20" xfId="0" applyFont="1" applyBorder="1" applyAlignment="1">
      <alignment horizontal="right"/>
    </xf>
    <xf numFmtId="3" fontId="6" fillId="0" borderId="21" xfId="0" applyNumberFormat="1" applyFont="1" applyBorder="1"/>
    <xf numFmtId="0" fontId="6" fillId="4" borderId="1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 wrapText="1"/>
    </xf>
    <xf numFmtId="0" fontId="6" fillId="4" borderId="0" xfId="0" applyFont="1" applyFill="1" applyAlignment="1">
      <alignment horizontal="left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left" vertical="center"/>
    </xf>
    <xf numFmtId="0" fontId="6" fillId="4" borderId="7" xfId="0" applyFont="1" applyFill="1" applyBorder="1" applyAlignment="1">
      <alignment horizontal="left" vertical="center"/>
    </xf>
    <xf numFmtId="0" fontId="6" fillId="0" borderId="0" xfId="0" applyFont="1" applyAlignment="1">
      <alignment horizontal="center"/>
    </xf>
    <xf numFmtId="0" fontId="6" fillId="0" borderId="1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/>
    </xf>
    <xf numFmtId="0" fontId="6" fillId="4" borderId="0" xfId="0" applyFont="1" applyFill="1" applyAlignment="1">
      <alignment horizontal="left" wrapText="1"/>
    </xf>
    <xf numFmtId="166" fontId="3" fillId="4" borderId="4" xfId="0" applyNumberFormat="1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left" wrapText="1"/>
    </xf>
  </cellXfs>
  <cellStyles count="4">
    <cellStyle name="Millares" xfId="1" builtinId="3"/>
    <cellStyle name="Millares 2" xfId="3" xr:uid="{00000000-0005-0000-0000-000001000000}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INDICE DE LIQUIDEZ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0.11206690089853712"/>
          <c:y val="0.20379358437935846"/>
          <c:w val="0.86796638394752967"/>
          <c:h val="0.65005150506814269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8B7A9750-AE62-476A-B625-1CA1DE02D335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D1DA1207-F4E7-4BFC-B21E-82D60CD25EAA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0-262C-4EFC-BD34-BC379134E88E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534A494E-4F8C-450A-80A0-307A1EE09215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0CD72389-B199-4F00-A579-DC569C656310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262C-4EFC-BD34-BC379134E88E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E8B0DB96-8C43-4387-8051-48816B5E97C5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EA030C54-4A58-46A5-B0A3-C8FE85AC73F5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262C-4EFC-BD34-BC379134E88E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0DC0427B-1A38-45AE-B347-DB9B3A5E5BAB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563A5BA7-D10D-4463-B46F-A56993452BE9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262C-4EFC-BD34-BC379134E88E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B0679E6D-0653-40D7-88F1-B4B590514181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EF62218D-0DC2-4455-A942-099489203C49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262C-4EFC-BD34-BC379134E88E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125B18D5-16AC-4D0A-A158-0D22851B5D8F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317717A8-5C87-47A0-943B-9570A2435D6D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262C-4EFC-BD34-BC379134E88E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AE2D0D89-6858-4FAF-92A0-CCBDF30D8719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768AFE18-9A09-445D-BA59-7AC42FC937B0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6-262C-4EFC-BD34-BC379134E88E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BD7AA3A9-4A15-45E3-BB2D-E0B254CA2370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D75E9648-34D7-48C4-BE28-BE514326AC3D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7-262C-4EFC-BD34-BC379134E88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hoja1!$B$148:$B$156</c15:sqref>
                  </c15:fullRef>
                </c:ext>
              </c:extLst>
              <c:f>hoja1!$B$149:$B$156</c:f>
              <c:strCache>
                <c:ptCount val="8"/>
                <c:pt idx="0">
                  <c:v>0 - 1,1</c:v>
                </c:pt>
                <c:pt idx="1">
                  <c:v>1,2 - 2</c:v>
                </c:pt>
                <c:pt idx="2">
                  <c:v>2,1 - 5</c:v>
                </c:pt>
                <c:pt idx="3">
                  <c:v>5,1 - 10</c:v>
                </c:pt>
                <c:pt idx="4">
                  <c:v>10,1 - 20</c:v>
                </c:pt>
                <c:pt idx="5">
                  <c:v>20,1 - 30</c:v>
                </c:pt>
                <c:pt idx="6">
                  <c:v>30,1 - 50</c:v>
                </c:pt>
                <c:pt idx="7">
                  <c:v>&gt; 50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hoja1!$C$148:$C$156</c15:sqref>
                  </c15:fullRef>
                </c:ext>
              </c:extLst>
              <c:f>hoja1!$C$149:$C$156</c:f>
              <c:numCache>
                <c:formatCode>#,##0</c:formatCode>
                <c:ptCount val="8"/>
                <c:pt idx="0">
                  <c:v>0</c:v>
                </c:pt>
                <c:pt idx="1">
                  <c:v>51</c:v>
                </c:pt>
                <c:pt idx="2">
                  <c:v>45</c:v>
                </c:pt>
                <c:pt idx="3">
                  <c:v>7</c:v>
                </c:pt>
                <c:pt idx="4">
                  <c:v>5</c:v>
                </c:pt>
                <c:pt idx="5">
                  <c:v>4</c:v>
                </c:pt>
                <c:pt idx="6">
                  <c:v>1</c:v>
                </c:pt>
                <c:pt idx="7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hoja1!$D$148:$D$156</c15:f>
                <c15:dlblRangeCache>
                  <c:ptCount val="9"/>
                  <c:pt idx="1">
                    <c:v>0,00%</c:v>
                  </c:pt>
                  <c:pt idx="2">
                    <c:v>44,74%</c:v>
                  </c:pt>
                  <c:pt idx="3">
                    <c:v>39,47%</c:v>
                  </c:pt>
                  <c:pt idx="4">
                    <c:v>6,14%</c:v>
                  </c:pt>
                  <c:pt idx="5">
                    <c:v>4,39%</c:v>
                  </c:pt>
                  <c:pt idx="6">
                    <c:v>3,51%</c:v>
                  </c:pt>
                  <c:pt idx="7">
                    <c:v>0,88%</c:v>
                  </c:pt>
                  <c:pt idx="8">
                    <c:v>0,88%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8-262C-4EFC-BD34-BC379134E88E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529181648"/>
        <c:axId val="529180864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4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4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4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/>
                </c:spPr>
                <c:invertIfNegative val="0"/>
                <c:dLbls>
                  <c:dLbl>
                    <c:idx val="0"/>
                    <c:tx>
                      <c:rich>
                        <a:bodyPr/>
                        <a:lstStyle/>
                        <a:p>
                          <a:fld id="{02CB0186-C76C-4EE4-9480-35018467ABC2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6586BD8A-FB73-4DCC-BC25-363FF82741FC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9-262C-4EFC-BD34-BC379134E88E}"/>
                      </c:ext>
                    </c:extLst>
                  </c:dLbl>
                  <c:dLbl>
                    <c:idx val="1"/>
                    <c:tx>
                      <c:rich>
                        <a:bodyPr/>
                        <a:lstStyle/>
                        <a:p>
                          <a:fld id="{0335625C-1469-4086-BA60-FD965ABA45BD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5309CC6D-8097-4814-8CAD-AD620BD190C2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A-262C-4EFC-BD34-BC379134E88E}"/>
                      </c:ext>
                    </c:extLst>
                  </c:dLbl>
                  <c:dLbl>
                    <c:idx val="2"/>
                    <c:tx>
                      <c:rich>
                        <a:bodyPr/>
                        <a:lstStyle/>
                        <a:p>
                          <a:fld id="{03BFEE5E-F3AC-4633-920F-B805D2902E88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2F8DD4C1-37D2-4F75-B473-6624CEFA46C5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B-262C-4EFC-BD34-BC379134E88E}"/>
                      </c:ext>
                    </c:extLst>
                  </c:dLbl>
                  <c:dLbl>
                    <c:idx val="3"/>
                    <c:tx>
                      <c:rich>
                        <a:bodyPr/>
                        <a:lstStyle/>
                        <a:p>
                          <a:fld id="{72FCD47A-EEA3-4517-8635-8BBBD8C2C213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AC0FA9EE-EBC9-437E-B094-7A6E82E3F43B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C-262C-4EFC-BD34-BC379134E88E}"/>
                      </c:ext>
                    </c:extLst>
                  </c:dLbl>
                  <c:dLbl>
                    <c:idx val="4"/>
                    <c:tx>
                      <c:rich>
                        <a:bodyPr/>
                        <a:lstStyle/>
                        <a:p>
                          <a:fld id="{B58B2C82-1FDD-42E1-AE1F-89320179A312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B2536A1D-7E79-4F44-ADD7-18DB995422A0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D-262C-4EFC-BD34-BC379134E88E}"/>
                      </c:ext>
                    </c:extLst>
                  </c:dLbl>
                  <c:dLbl>
                    <c:idx val="5"/>
                    <c:tx>
                      <c:rich>
                        <a:bodyPr/>
                        <a:lstStyle/>
                        <a:p>
                          <a:fld id="{9E06769F-DF65-4455-B935-86347068FD89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92037DBA-C807-4300-99FE-93B7FECD8B50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E-262C-4EFC-BD34-BC379134E88E}"/>
                      </c:ext>
                    </c:extLst>
                  </c:dLbl>
                  <c:dLbl>
                    <c:idx val="6"/>
                    <c:tx>
                      <c:rich>
                        <a:bodyPr/>
                        <a:lstStyle/>
                        <a:p>
                          <a:fld id="{5A8AC269-D2AB-470C-9941-D6B0181B9AA3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3C0C6AF2-C032-4150-8E10-818FC5260CA1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F-262C-4EFC-BD34-BC379134E88E}"/>
                      </c:ext>
                    </c:extLst>
                  </c:dLbl>
                  <c:dLbl>
                    <c:idx val="7"/>
                    <c:tx>
                      <c:rich>
                        <a:bodyPr/>
                        <a:lstStyle/>
                        <a:p>
                          <a:fld id="{083A8C6C-E27D-45D0-BB01-B914CDDBF961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F0D844CA-669C-4636-B5C8-74C3F7893F2C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10-262C-4EFC-BD34-BC379134E88E}"/>
                      </c:ext>
                    </c:extLst>
                  </c:dLbl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2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eparator>
</c:separator>
                  <c:showLeaderLines val="0"/>
                  <c:extLst>
                    <c:ext uri="{CE6537A1-D6FC-4f65-9D91-7224C49458BB}">
                      <c15:showDataLabelsRange val="1"/>
                      <c15:showLeaderLines val="1"/>
                      <c15:leaderLines>
                        <c:spPr>
                          <a:ln w="9525">
                            <a:solidFill>
                              <a:schemeClr val="tx2">
                                <a:lumMod val="35000"/>
                                <a:lumOff val="65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hoja1!$B$148:$B$156</c15:sqref>
                        </c15:fullRef>
                        <c15:formulaRef>
                          <c15:sqref>hoja1!$B$149:$B$156</c15:sqref>
                        </c15:formulaRef>
                      </c:ext>
                    </c:extLst>
                    <c:strCache>
                      <c:ptCount val="8"/>
                      <c:pt idx="0">
                        <c:v>0 - 1,1</c:v>
                      </c:pt>
                      <c:pt idx="1">
                        <c:v>1,2 - 2</c:v>
                      </c:pt>
                      <c:pt idx="2">
                        <c:v>2,1 - 5</c:v>
                      </c:pt>
                      <c:pt idx="3">
                        <c:v>5,1 - 10</c:v>
                      </c:pt>
                      <c:pt idx="4">
                        <c:v>10,1 - 20</c:v>
                      </c:pt>
                      <c:pt idx="5">
                        <c:v>20,1 - 30</c:v>
                      </c:pt>
                      <c:pt idx="6">
                        <c:v>30,1 - 50</c:v>
                      </c:pt>
                      <c:pt idx="7">
                        <c:v>&gt; 50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hoja1!$D$148:$D$156</c15:sqref>
                        </c15:fullRef>
                        <c15:formulaRef>
                          <c15:sqref>hoja1!$D$149:$D$156</c15:sqref>
                        </c15:formulaRef>
                      </c:ext>
                    </c:extLst>
                    <c:numCache>
                      <c:formatCode>0.00%</c:formatCode>
                      <c:ptCount val="8"/>
                      <c:pt idx="0">
                        <c:v>0</c:v>
                      </c:pt>
                      <c:pt idx="1">
                        <c:v>0.44736842105263158</c:v>
                      </c:pt>
                      <c:pt idx="2">
                        <c:v>0.39473684210526316</c:v>
                      </c:pt>
                      <c:pt idx="3">
                        <c:v>6.1403508771929821E-2</c:v>
                      </c:pt>
                      <c:pt idx="4">
                        <c:v>4.3859649122807015E-2</c:v>
                      </c:pt>
                      <c:pt idx="5">
                        <c:v>3.5087719298245612E-2</c:v>
                      </c:pt>
                      <c:pt idx="6">
                        <c:v>8.771929824561403E-3</c:v>
                      </c:pt>
                      <c:pt idx="7">
                        <c:v>8.771929824561403E-3</c:v>
                      </c:pt>
                    </c:numCache>
                  </c:numRef>
                </c:val>
                <c:extLst>
                  <c:ext uri="{02D57815-91ED-43cb-92C2-25804820EDAC}">
                    <c15:datalabelsRange>
                      <c15:f>hoja1!$D$149:$D$156</c15:f>
                      <c15:dlblRangeCache>
                        <c:ptCount val="8"/>
                        <c:pt idx="0">
                          <c:v>0,00%</c:v>
                        </c:pt>
                        <c:pt idx="1">
                          <c:v>44,74%</c:v>
                        </c:pt>
                        <c:pt idx="2">
                          <c:v>39,47%</c:v>
                        </c:pt>
                        <c:pt idx="3">
                          <c:v>6,14%</c:v>
                        </c:pt>
                        <c:pt idx="4">
                          <c:v>4,39%</c:v>
                        </c:pt>
                        <c:pt idx="5">
                          <c:v>3,51%</c:v>
                        </c:pt>
                        <c:pt idx="6">
                          <c:v>0,88%</c:v>
                        </c:pt>
                        <c:pt idx="7">
                          <c:v>0,88%</c:v>
                        </c:pt>
                      </c15:dlblRangeCache>
                    </c15:datalabelsRange>
                  </c:ext>
                  <c:ext xmlns:c16="http://schemas.microsoft.com/office/drawing/2014/chart" uri="{C3380CC4-5D6E-409C-BE32-E72D297353CC}">
                    <c16:uniqueId val="{00000011-262C-4EFC-BD34-BC379134E88E}"/>
                  </c:ext>
                </c:extLst>
              </c15:ser>
            </c15:filteredBarSeries>
          </c:ext>
        </c:extLst>
      </c:barChart>
      <c:catAx>
        <c:axId val="5291816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1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29180864"/>
        <c:crosses val="autoZero"/>
        <c:auto val="1"/>
        <c:lblAlgn val="ctr"/>
        <c:lblOffset val="100"/>
        <c:noMultiLvlLbl val="0"/>
      </c:catAx>
      <c:valAx>
        <c:axId val="529180864"/>
        <c:scaling>
          <c:orientation val="minMax"/>
          <c:max val="300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N° DE EMPRESAS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291816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INDICE DE ENDEUDAMIENTO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832F8CFE-4D6F-4809-9B61-3741E86E3A43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BC4A6CF9-F930-4D7A-A81F-D1697F915AC1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0-D768-4271-866D-BF61BF2EE0C0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887EDE99-E3E2-4CBB-B187-DD1801F60846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1D71CF54-3F95-40CC-A1C3-4EE5EBEC9542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D768-4271-866D-BF61BF2EE0C0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770BBEAA-E88D-4C36-B275-BD9D4F869B51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61F11656-7195-47C2-9603-BDCC36FB0744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D768-4271-866D-BF61BF2EE0C0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B562EB07-B623-429B-BF77-B107E79661F4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923B11B2-B196-4B9D-AAC3-B3785D38CA5F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D768-4271-866D-BF61BF2EE0C0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BB250E3E-DD2F-4218-9C77-F00D9FDF89D2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375E9423-E15B-420E-BF94-803212F78FD6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D768-4271-866D-BF61BF2EE0C0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FB61B9A1-9F0A-433B-872A-B765BEE42937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7564202D-5114-4CF7-B19A-65BB296BE044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D768-4271-866D-BF61BF2EE0C0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9F372116-331B-475E-91A9-4C0AF5E9D72A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5A56ACCB-749E-4FD4-91ED-117463A91E03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6-D768-4271-866D-BF61BF2EE0C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hoja1!$B$174:$B$181</c15:sqref>
                  </c15:fullRef>
                </c:ext>
              </c:extLst>
              <c:f>hoja1!$B$175:$B$181</c:f>
              <c:strCache>
                <c:ptCount val="7"/>
                <c:pt idx="0">
                  <c:v>0 - 15%</c:v>
                </c:pt>
                <c:pt idx="1">
                  <c:v>15,1% - 30%</c:v>
                </c:pt>
                <c:pt idx="2">
                  <c:v>30,1% - 45%</c:v>
                </c:pt>
                <c:pt idx="3">
                  <c:v>45,1% - 60%</c:v>
                </c:pt>
                <c:pt idx="4">
                  <c:v>60,1% - 75%</c:v>
                </c:pt>
                <c:pt idx="5">
                  <c:v>75,1% - 90%</c:v>
                </c:pt>
                <c:pt idx="6">
                  <c:v>&gt; 90%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hoja1!$C$174:$C$181</c15:sqref>
                  </c15:fullRef>
                </c:ext>
              </c:extLst>
              <c:f>hoja1!$C$175:$C$181</c:f>
              <c:numCache>
                <c:formatCode>#,##0</c:formatCode>
                <c:ptCount val="7"/>
                <c:pt idx="0">
                  <c:v>8</c:v>
                </c:pt>
                <c:pt idx="1">
                  <c:v>15</c:v>
                </c:pt>
                <c:pt idx="2">
                  <c:v>24</c:v>
                </c:pt>
                <c:pt idx="3">
                  <c:v>22</c:v>
                </c:pt>
                <c:pt idx="4">
                  <c:v>31</c:v>
                </c:pt>
                <c:pt idx="5">
                  <c:v>11</c:v>
                </c:pt>
                <c:pt idx="6">
                  <c:v>3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hoja1!$D$174:$D$181</c15:f>
                <c15:dlblRangeCache>
                  <c:ptCount val="8"/>
                  <c:pt idx="1">
                    <c:v>7,02%</c:v>
                  </c:pt>
                  <c:pt idx="2">
                    <c:v>13,16%</c:v>
                  </c:pt>
                  <c:pt idx="3">
                    <c:v>21,05%</c:v>
                  </c:pt>
                  <c:pt idx="4">
                    <c:v>19,30%</c:v>
                  </c:pt>
                  <c:pt idx="5">
                    <c:v>27,19%</c:v>
                  </c:pt>
                  <c:pt idx="6">
                    <c:v>9,65%</c:v>
                  </c:pt>
                  <c:pt idx="7">
                    <c:v>2,63%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7-D768-4271-866D-BF61BF2EE0C0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536171728"/>
        <c:axId val="536173296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4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4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4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/>
                </c:spPr>
                <c:invertIfNegative val="0"/>
                <c:dLbls>
                  <c:dLbl>
                    <c:idx val="0"/>
                    <c:tx>
                      <c:rich>
                        <a:bodyPr/>
                        <a:lstStyle/>
                        <a:p>
                          <a:fld id="{51365625-DD7B-4162-8542-00A81F033E29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1410F565-0337-439B-A860-35D198FAAEE7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8-D768-4271-866D-BF61BF2EE0C0}"/>
                      </c:ext>
                    </c:extLst>
                  </c:dLbl>
                  <c:dLbl>
                    <c:idx val="1"/>
                    <c:tx>
                      <c:rich>
                        <a:bodyPr/>
                        <a:lstStyle/>
                        <a:p>
                          <a:fld id="{CE035AF0-59F0-4B97-9AE9-FBE67B2F7503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13CC5D3B-1070-40C2-AC7F-47E2F37F6C68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9-D768-4271-866D-BF61BF2EE0C0}"/>
                      </c:ext>
                    </c:extLst>
                  </c:dLbl>
                  <c:dLbl>
                    <c:idx val="2"/>
                    <c:tx>
                      <c:rich>
                        <a:bodyPr/>
                        <a:lstStyle/>
                        <a:p>
                          <a:fld id="{FCA0DEDD-65DE-44C2-8DC1-E56A90D16F53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9415B5C7-4946-4F63-B722-31B38C8304BB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A-D768-4271-866D-BF61BF2EE0C0}"/>
                      </c:ext>
                    </c:extLst>
                  </c:dLbl>
                  <c:dLbl>
                    <c:idx val="3"/>
                    <c:tx>
                      <c:rich>
                        <a:bodyPr/>
                        <a:lstStyle/>
                        <a:p>
                          <a:fld id="{D234985F-7C5F-4431-9B92-AF6B7B20CD5C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455CCB67-DE12-4168-8E4B-B6003015E509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B-D768-4271-866D-BF61BF2EE0C0}"/>
                      </c:ext>
                    </c:extLst>
                  </c:dLbl>
                  <c:dLbl>
                    <c:idx val="4"/>
                    <c:tx>
                      <c:rich>
                        <a:bodyPr/>
                        <a:lstStyle/>
                        <a:p>
                          <a:fld id="{FD80F7FA-80EA-4B13-A269-FED99789BE9F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734A1C4D-7801-457A-9415-2C05622E9BB8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C-D768-4271-866D-BF61BF2EE0C0}"/>
                      </c:ext>
                    </c:extLst>
                  </c:dLbl>
                  <c:dLbl>
                    <c:idx val="5"/>
                    <c:tx>
                      <c:rich>
                        <a:bodyPr/>
                        <a:lstStyle/>
                        <a:p>
                          <a:fld id="{D238AC6A-935B-4C0B-9B54-852B65EB3E85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F6733E12-3F88-4435-9113-523286147830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D-D768-4271-866D-BF61BF2EE0C0}"/>
                      </c:ext>
                    </c:extLst>
                  </c:dLbl>
                  <c:dLbl>
                    <c:idx val="6"/>
                    <c:tx>
                      <c:rich>
                        <a:bodyPr/>
                        <a:lstStyle/>
                        <a:p>
                          <a:fld id="{11B0BDDC-2068-40F7-B7CD-D61423BEAA62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51EB1C79-E0BF-4517-9D16-0D62AEC71B38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E-D768-4271-866D-BF61BF2EE0C0}"/>
                      </c:ext>
                    </c:extLst>
                  </c:dLbl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2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eparator>
</c:separator>
                  <c:showLeaderLines val="0"/>
                  <c:extLst>
                    <c:ext uri="{CE6537A1-D6FC-4f65-9D91-7224C49458BB}">
                      <c15:showDataLabelsRange val="1"/>
                      <c15:showLeaderLines val="1"/>
                      <c15:leaderLines>
                        <c:spPr>
                          <a:ln w="9525">
                            <a:solidFill>
                              <a:schemeClr val="tx2">
                                <a:lumMod val="35000"/>
                                <a:lumOff val="65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hoja1!$B$174:$B$181</c15:sqref>
                        </c15:fullRef>
                        <c15:formulaRef>
                          <c15:sqref>hoja1!$B$175:$B$181</c15:sqref>
                        </c15:formulaRef>
                      </c:ext>
                    </c:extLst>
                    <c:strCache>
                      <c:ptCount val="7"/>
                      <c:pt idx="0">
                        <c:v>0 - 15%</c:v>
                      </c:pt>
                      <c:pt idx="1">
                        <c:v>15,1% - 30%</c:v>
                      </c:pt>
                      <c:pt idx="2">
                        <c:v>30,1% - 45%</c:v>
                      </c:pt>
                      <c:pt idx="3">
                        <c:v>45,1% - 60%</c:v>
                      </c:pt>
                      <c:pt idx="4">
                        <c:v>60,1% - 75%</c:v>
                      </c:pt>
                      <c:pt idx="5">
                        <c:v>75,1% - 90%</c:v>
                      </c:pt>
                      <c:pt idx="6">
                        <c:v>&gt; 90%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hoja1!$D$174:$D$181</c15:sqref>
                        </c15:fullRef>
                        <c15:formulaRef>
                          <c15:sqref>hoja1!$D$175:$D$181</c15:sqref>
                        </c15:formulaRef>
                      </c:ext>
                    </c:extLst>
                    <c:numCache>
                      <c:formatCode>0.00%</c:formatCode>
                      <c:ptCount val="7"/>
                      <c:pt idx="0">
                        <c:v>7.0175438596491224E-2</c:v>
                      </c:pt>
                      <c:pt idx="1">
                        <c:v>0.13157894736842105</c:v>
                      </c:pt>
                      <c:pt idx="2">
                        <c:v>0.21052631578947367</c:v>
                      </c:pt>
                      <c:pt idx="3">
                        <c:v>0.19298245614035087</c:v>
                      </c:pt>
                      <c:pt idx="4">
                        <c:v>0.27192982456140352</c:v>
                      </c:pt>
                      <c:pt idx="5">
                        <c:v>9.6491228070175433E-2</c:v>
                      </c:pt>
                      <c:pt idx="6">
                        <c:v>2.6315789473684209E-2</c:v>
                      </c:pt>
                    </c:numCache>
                  </c:numRef>
                </c:val>
                <c:extLst>
                  <c:ext uri="{02D57815-91ED-43cb-92C2-25804820EDAC}">
                    <c15:datalabelsRange>
                      <c15:f>hoja1!$D$174:$D$181</c15:f>
                      <c15:dlblRangeCache>
                        <c:ptCount val="8"/>
                        <c:pt idx="1">
                          <c:v>7,02%</c:v>
                        </c:pt>
                        <c:pt idx="2">
                          <c:v>13,16%</c:v>
                        </c:pt>
                        <c:pt idx="3">
                          <c:v>21,05%</c:v>
                        </c:pt>
                        <c:pt idx="4">
                          <c:v>19,30%</c:v>
                        </c:pt>
                        <c:pt idx="5">
                          <c:v>27,19%</c:v>
                        </c:pt>
                        <c:pt idx="6">
                          <c:v>9,65%</c:v>
                        </c:pt>
                        <c:pt idx="7">
                          <c:v>2,63%</c:v>
                        </c:pt>
                      </c15:dlblRangeCache>
                    </c15:datalabelsRange>
                  </c:ext>
                  <c:ext xmlns:c16="http://schemas.microsoft.com/office/drawing/2014/chart" uri="{C3380CC4-5D6E-409C-BE32-E72D297353CC}">
                    <c16:uniqueId val="{0000000F-D768-4271-866D-BF61BF2EE0C0}"/>
                  </c:ext>
                </c:extLst>
              </c15:ser>
            </c15:filteredBarSeries>
          </c:ext>
        </c:extLst>
      </c:barChart>
      <c:catAx>
        <c:axId val="5361717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36173296"/>
        <c:crosses val="autoZero"/>
        <c:auto val="1"/>
        <c:lblAlgn val="ctr"/>
        <c:lblOffset val="100"/>
        <c:noMultiLvlLbl val="0"/>
      </c:catAx>
      <c:valAx>
        <c:axId val="536173296"/>
        <c:scaling>
          <c:orientation val="minMax"/>
          <c:max val="200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N°</a:t>
                </a:r>
                <a:r>
                  <a:rPr lang="es-CO" baseline="0"/>
                  <a:t> DE EMPRESAS</a:t>
                </a:r>
                <a:endParaRPr lang="es-CO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361717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 b="1"/>
              <a:t>PATRIMONIO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8.7185691987819794E-2"/>
          <c:y val="0.21979249003558357"/>
          <c:w val="0.88907001918958484"/>
          <c:h val="0.64273635801161477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30680C39-CAA6-48F3-9546-32ADF87E327D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33EBDE6E-7EF4-4C2C-9E17-05D4BFA290B1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0-5A6F-4CFF-8D5F-C41C3DC2375C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796EA1D9-C801-4067-9474-461F713FCE79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14DE3EE2-518D-4BF8-A559-7061A372F802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5A6F-4CFF-8D5F-C41C3DC2375C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B497ED83-8484-4557-9540-46750340E054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14CDE6CF-1F6E-4748-A3DC-280E82E83C0E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5A6F-4CFF-8D5F-C41C3DC2375C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8BE21BE7-B649-47C5-AF12-287F7E00DE71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9B712F3D-6328-477A-8348-1E00F86763C6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5A6F-4CFF-8D5F-C41C3DC2375C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D3C52CDB-4D81-4758-B03F-0FB09D874EEB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93B019FE-5C09-442E-8777-5DA7B25E1D1A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5A6F-4CFF-8D5F-C41C3DC2375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hoja1!$B$189:$B$195</c15:sqref>
                  </c15:fullRef>
                </c:ext>
              </c:extLst>
              <c:f>hoja1!$B$190:$B$194</c:f>
              <c:strCache>
                <c:ptCount val="5"/>
                <c:pt idx="0">
                  <c:v>&lt; 0</c:v>
                </c:pt>
                <c:pt idx="1">
                  <c:v> = 0</c:v>
                </c:pt>
                <c:pt idx="2">
                  <c:v>0 - $10m</c:v>
                </c:pt>
                <c:pt idx="3">
                  <c:v>$10m - $100m</c:v>
                </c:pt>
                <c:pt idx="4">
                  <c:v>&gt; $100m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hoja1!$C$189:$C$195</c15:sqref>
                  </c15:fullRef>
                </c:ext>
              </c:extLst>
              <c:f>hoja1!$C$190:$C$194</c:f>
              <c:numCache>
                <c:formatCode>#,##0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40</c:v>
                </c:pt>
                <c:pt idx="3">
                  <c:v>64</c:v>
                </c:pt>
                <c:pt idx="4">
                  <c:v>10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hoja1!$D$189:$D$194</c15:f>
                <c15:dlblRangeCache>
                  <c:ptCount val="6"/>
                  <c:pt idx="1">
                    <c:v>0,00%</c:v>
                  </c:pt>
                  <c:pt idx="2">
                    <c:v>0,00%</c:v>
                  </c:pt>
                  <c:pt idx="3">
                    <c:v>35,09%</c:v>
                  </c:pt>
                  <c:pt idx="4">
                    <c:v>56,14%</c:v>
                  </c:pt>
                  <c:pt idx="5">
                    <c:v>8,77%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5-5A6F-4CFF-8D5F-C41C3DC2375C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373572032"/>
        <c:axId val="373769120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spPr>
                  <a:solidFill>
                    <a:schemeClr val="accent5"/>
                  </a:solidFill>
                  <a:ln>
                    <a:noFill/>
                  </a:ln>
                  <a:effectLst/>
                </c:spPr>
                <c:invertIfNegative val="0"/>
                <c:dLbls>
                  <c:dLbl>
                    <c:idx val="0"/>
                    <c:tx>
                      <c:rich>
                        <a:bodyPr/>
                        <a:lstStyle/>
                        <a:p>
                          <a:fld id="{7AC646B4-B3F8-4564-ACC8-A82512C329B1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B6594584-038C-4C13-A4DF-3457D801C8C6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6-5A6F-4CFF-8D5F-C41C3DC2375C}"/>
                      </c:ext>
                    </c:extLst>
                  </c:dLbl>
                  <c:dLbl>
                    <c:idx val="1"/>
                    <c:tx>
                      <c:rich>
                        <a:bodyPr/>
                        <a:lstStyle/>
                        <a:p>
                          <a:fld id="{1BEE93F4-3FF3-4378-BB15-069AD66D184A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9D5910C9-92A1-4D43-A1C7-958BF38D5B07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7-5A6F-4CFF-8D5F-C41C3DC2375C}"/>
                      </c:ext>
                    </c:extLst>
                  </c:dLbl>
                  <c:dLbl>
                    <c:idx val="2"/>
                    <c:tx>
                      <c:rich>
                        <a:bodyPr/>
                        <a:lstStyle/>
                        <a:p>
                          <a:fld id="{6AC896A1-B7F0-4EAE-8E41-71935832C1A5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6CF61E08-9859-4B0B-A8CD-18F2CE359E3B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8-5A6F-4CFF-8D5F-C41C3DC2375C}"/>
                      </c:ext>
                    </c:extLst>
                  </c:dLbl>
                  <c:dLbl>
                    <c:idx val="3"/>
                    <c:tx>
                      <c:rich>
                        <a:bodyPr/>
                        <a:lstStyle/>
                        <a:p>
                          <a:fld id="{BB27C575-385D-468A-BFDC-5F3C95803387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CCA0BC64-3449-4789-8416-E797C3C8EC1F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9-5A6F-4CFF-8D5F-C41C3DC2375C}"/>
                      </c:ext>
                    </c:extLst>
                  </c:dLbl>
                  <c:dLbl>
                    <c:idx val="4"/>
                    <c:tx>
                      <c:rich>
                        <a:bodyPr/>
                        <a:lstStyle/>
                        <a:p>
                          <a:fld id="{C0B5B9BB-D288-47EA-B8FA-70BCEBC6A265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A-5A6F-4CFF-8D5F-C41C3DC2375C}"/>
                      </c:ext>
                    </c:extLst>
                  </c:dLbl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eparator>
</c:separator>
                  <c:showLeaderLines val="0"/>
                  <c:extLst>
                    <c:ext uri="{CE6537A1-D6FC-4f65-9D91-7224C49458BB}">
                      <c15:showDataLabelsRange val="1"/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hoja1!$B$189:$B$195</c15:sqref>
                        </c15:fullRef>
                        <c15:formulaRef>
                          <c15:sqref>hoja1!$B$190:$B$194</c15:sqref>
                        </c15:formulaRef>
                      </c:ext>
                    </c:extLst>
                    <c:strCache>
                      <c:ptCount val="5"/>
                      <c:pt idx="0">
                        <c:v>&lt; 0</c:v>
                      </c:pt>
                      <c:pt idx="1">
                        <c:v> = 0</c:v>
                      </c:pt>
                      <c:pt idx="2">
                        <c:v>0 - $10m</c:v>
                      </c:pt>
                      <c:pt idx="3">
                        <c:v>$10m - $100m</c:v>
                      </c:pt>
                      <c:pt idx="4">
                        <c:v>&gt; $100m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hoja1!$D$189:$D$195</c15:sqref>
                        </c15:fullRef>
                        <c15:formulaRef>
                          <c15:sqref>hoja1!$D$190:$D$194</c15:sqref>
                        </c15:formulaRef>
                      </c:ext>
                    </c:extLst>
                    <c:numCache>
                      <c:formatCode>0.00%</c:formatCode>
                      <c:ptCount val="5"/>
                      <c:pt idx="0">
                        <c:v>0</c:v>
                      </c:pt>
                      <c:pt idx="1">
                        <c:v>0</c:v>
                      </c:pt>
                      <c:pt idx="2">
                        <c:v>0.35087719298245612</c:v>
                      </c:pt>
                      <c:pt idx="3">
                        <c:v>0.56140350877192979</c:v>
                      </c:pt>
                      <c:pt idx="4">
                        <c:v>8.771929824561403E-2</c:v>
                      </c:pt>
                    </c:numCache>
                  </c:numRef>
                </c:val>
                <c:extLst>
                  <c:ext uri="{02D57815-91ED-43cb-92C2-25804820EDAC}">
                    <c15:datalabelsRange>
                      <c15:f>hoja1!$D$190:$D$194</c15:f>
                      <c15:dlblRangeCache>
                        <c:ptCount val="5"/>
                        <c:pt idx="0">
                          <c:v>0,00%</c:v>
                        </c:pt>
                        <c:pt idx="1">
                          <c:v>0,00%</c:v>
                        </c:pt>
                        <c:pt idx="2">
                          <c:v>35,09%</c:v>
                        </c:pt>
                        <c:pt idx="3">
                          <c:v>56,14%</c:v>
                        </c:pt>
                        <c:pt idx="4">
                          <c:v>8,77%</c:v>
                        </c:pt>
                      </c15:dlblRangeCache>
                    </c15:datalabelsRange>
                  </c:ext>
                  <c:ext xmlns:c16="http://schemas.microsoft.com/office/drawing/2014/chart" uri="{C3380CC4-5D6E-409C-BE32-E72D297353CC}">
                    <c16:uniqueId val="{0000000B-5A6F-4CFF-8D5F-C41C3DC2375C}"/>
                  </c:ext>
                </c:extLst>
              </c15:ser>
            </c15:filteredBarSeries>
          </c:ext>
        </c:extLst>
      </c:barChart>
      <c:catAx>
        <c:axId val="3735720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73769120"/>
        <c:crosses val="autoZero"/>
        <c:auto val="1"/>
        <c:lblAlgn val="ctr"/>
        <c:lblOffset val="100"/>
        <c:noMultiLvlLbl val="0"/>
      </c:catAx>
      <c:valAx>
        <c:axId val="373769120"/>
        <c:scaling>
          <c:orientation val="minMax"/>
          <c:max val="2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 b="1"/>
                  <a:t>N° DE EMPRESAS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735720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 b="1"/>
              <a:t>CAPITAL DE TRABAJO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2"/>
          <c:order val="0"/>
          <c:invertIfNegative val="0"/>
          <c:dLbls>
            <c:spPr>
              <a:noFill/>
              <a:ln>
                <a:noFill/>
              </a:ln>
              <a:effectLst/>
            </c:sp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hoja1!$B$163:$B$166</c15:sqref>
                  </c15:fullRef>
                </c:ext>
              </c:extLst>
              <c:f>hoja1!$B$164:$B$166</c:f>
              <c:strCache>
                <c:ptCount val="3"/>
                <c:pt idx="0">
                  <c:v>&lt; 0</c:v>
                </c:pt>
                <c:pt idx="1">
                  <c:v> = 0</c:v>
                </c:pt>
                <c:pt idx="2">
                  <c:v>&gt; 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hoja1!$C$163:$C$166</c15:sqref>
                  </c15:fullRef>
                </c:ext>
              </c:extLst>
              <c:f>hoja1!$C$164:$C$166</c:f>
              <c:numCache>
                <c:formatCode>#,##0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114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D26-4CBA-AD9A-352493BC539B}"/>
            </c:ext>
          </c:extLst>
        </c:ser>
        <c:ser>
          <c:idx val="3"/>
          <c:order val="1"/>
          <c:invertIfNegative val="0"/>
          <c:dLbls>
            <c:spPr>
              <a:noFill/>
              <a:ln>
                <a:noFill/>
              </a:ln>
              <a:effectLst/>
            </c:sp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hoja1!$B$163:$B$166</c15:sqref>
                  </c15:fullRef>
                </c:ext>
              </c:extLst>
              <c:f>hoja1!$B$164:$B$166</c:f>
              <c:strCache>
                <c:ptCount val="3"/>
                <c:pt idx="0">
                  <c:v>&lt; 0</c:v>
                </c:pt>
                <c:pt idx="1">
                  <c:v> = 0</c:v>
                </c:pt>
                <c:pt idx="2">
                  <c:v>&gt; 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hoja1!$D$163:$D$166</c15:sqref>
                  </c15:fullRef>
                </c:ext>
              </c:extLst>
              <c:f>hoja1!$D$164:$D$166</c:f>
              <c:numCache>
                <c:formatCode>0.00%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D26-4CBA-AD9A-352493BC539B}"/>
            </c:ext>
          </c:extLst>
        </c:ser>
        <c:ser>
          <c:idx val="0"/>
          <c:order val="2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808179B5-D4DD-499D-B8EB-608AF7E46B31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00C1B498-7CB3-47AC-AC3E-4D486A75C896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ED26-4CBA-AD9A-352493BC539B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18600481-85DE-435E-A524-A8055AE6125C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83B3A256-02C8-4820-8ECA-5CFA4BDCE396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ED26-4CBA-AD9A-352493BC539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hoja1!$B$164:$B$166</c15:sqref>
                  </c15:fullRef>
                </c:ext>
              </c:extLst>
              <c:f>hoja1!$B$165:$B$166</c:f>
              <c:strCache>
                <c:ptCount val="2"/>
                <c:pt idx="0">
                  <c:v> = 0</c:v>
                </c:pt>
                <c:pt idx="1">
                  <c:v>&gt; 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hoja1!$C$164:$C$166</c15:sqref>
                  </c15:fullRef>
                </c:ext>
              </c:extLst>
              <c:f>hoja1!$C$165:$C$166</c:f>
              <c:numCache>
                <c:formatCode>#,##0</c:formatCode>
                <c:ptCount val="2"/>
                <c:pt idx="0">
                  <c:v>0</c:v>
                </c:pt>
                <c:pt idx="1">
                  <c:v>114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hoja1!$D$163:$D$166</c15:f>
                <c15:dlblRangeCache>
                  <c:ptCount val="4"/>
                  <c:pt idx="1">
                    <c:v>0,00%</c:v>
                  </c:pt>
                  <c:pt idx="2">
                    <c:v>0,00%</c:v>
                  </c:pt>
                  <c:pt idx="3">
                    <c:v>100,00%</c:v>
                  </c:pt>
                </c15:dlblRangeCache>
              </c15:datalabelsRange>
            </c:ext>
            <c:ext xmlns:c15="http://schemas.microsoft.com/office/drawing/2012/chart" uri="{02D57815-91ED-43cb-92C2-25804820EDAC}">
              <c15:categoryFilterExceptions>
                <c15:categoryFilterException>
                  <c15:sqref>hoja1!$C$164</c15:sqref>
                  <c15:dLbl>
                    <c:idx val="-1"/>
                    <c:tx>
                      <c:rich>
                        <a:bodyPr/>
                        <a:lstStyle/>
                        <a:p>
                          <a:fld id="{281FA0B4-0E91-4A49-9391-78B8917BAA06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464171A1-3113-4F22-B401-E55BC09BA3A6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0-8C8B-4C83-A51C-74E05FB79BE2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04-ED26-4CBA-AD9A-352493BC539B}"/>
            </c:ext>
          </c:extLst>
        </c:ser>
        <c:ser>
          <c:idx val="1"/>
          <c:order val="3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5="http://schemas.microsoft.com/office/drawing/2012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hoja1!$B$164:$B$166</c15:sqref>
                  </c15:fullRef>
                </c:ext>
              </c:extLst>
              <c:f>hoja1!$B$165:$B$166</c:f>
              <c:strCache>
                <c:ptCount val="2"/>
                <c:pt idx="0">
                  <c:v> = 0</c:v>
                </c:pt>
                <c:pt idx="1">
                  <c:v>&gt; 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hoja1!$D$164:$D$166</c15:sqref>
                  </c15:fullRef>
                </c:ext>
              </c:extLst>
              <c:f>hoja1!$D$165:$D$166</c:f>
              <c:numCache>
                <c:formatCode>0.00%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5-ED26-4CBA-AD9A-352493BC539B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386234632"/>
        <c:axId val="386232280"/>
        <c:extLst/>
      </c:barChart>
      <c:catAx>
        <c:axId val="3862346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86232280"/>
        <c:crosses val="autoZero"/>
        <c:auto val="1"/>
        <c:lblAlgn val="ctr"/>
        <c:lblOffset val="100"/>
        <c:noMultiLvlLbl val="0"/>
      </c:catAx>
      <c:valAx>
        <c:axId val="386232280"/>
        <c:scaling>
          <c:orientation val="minMax"/>
          <c:max val="4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 b="1"/>
                  <a:t>N° DE EMPRESAS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86234632"/>
        <c:crosses val="autoZero"/>
        <c:crossBetween val="between"/>
      </c:valAx>
    </c:plotArea>
    <c:plotVisOnly val="1"/>
    <c:dispBlanksAs val="gap"/>
    <c:showDLblsOverMax val="0"/>
  </c:chart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COBERTURA DE INTERESES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0BE4AFD1-26B5-4ECD-AC73-E662CDD245CE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7224DE8D-CFD3-4022-A478-AFE1EB279B21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0-62B3-4A37-9583-2AB07B5B2426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71239CAF-AD27-4B9C-A1EB-8887B0F417E0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2D5F0A36-2F8A-4460-BB49-6F8AE7AD753F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62B3-4A37-9583-2AB07B5B2426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CEC0DEA2-55A2-4202-B552-6CB6613A2C16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310C1829-6769-41C8-A222-872CAF4C6F02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62B3-4A37-9583-2AB07B5B2426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1FE7B392-A659-4343-BADA-BCC06395085F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CFC92F78-9512-4455-8051-B55847E35322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62B3-4A37-9583-2AB07B5B2426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C4BEF774-38C8-49E1-8E1D-286C41AFC667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2F62288A-3B35-46C5-9E97-48EA01ECCC77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62B3-4A37-9583-2AB07B5B2426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E61D4111-F7AC-47C3-A872-C05E8E707C91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038A747C-18AC-4843-BACE-9290225D8E28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62B3-4A37-9583-2AB07B5B242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hoja1!$B$202:$B$209</c15:sqref>
                  </c15:fullRef>
                </c:ext>
              </c:extLst>
              <c:f>hoja1!$B$204:$B$209</c:f>
              <c:strCache>
                <c:ptCount val="6"/>
                <c:pt idx="0">
                  <c:v>&lt; 0</c:v>
                </c:pt>
                <c:pt idx="1">
                  <c:v>0 - 1</c:v>
                </c:pt>
                <c:pt idx="2">
                  <c:v>1,1 - 2</c:v>
                </c:pt>
                <c:pt idx="3">
                  <c:v>2,1 - 4</c:v>
                </c:pt>
                <c:pt idx="4">
                  <c:v>4,1 - 6</c:v>
                </c:pt>
                <c:pt idx="5">
                  <c:v>&gt; 6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hoja1!$C$202:$C$209</c15:sqref>
                  </c15:fullRef>
                </c:ext>
              </c:extLst>
              <c:f>hoja1!$C$204:$C$209</c:f>
              <c:numCache>
                <c:formatCode>#,##0</c:formatCode>
                <c:ptCount val="6"/>
                <c:pt idx="0">
                  <c:v>0</c:v>
                </c:pt>
                <c:pt idx="1">
                  <c:v>15</c:v>
                </c:pt>
                <c:pt idx="2">
                  <c:v>21</c:v>
                </c:pt>
                <c:pt idx="3">
                  <c:v>18</c:v>
                </c:pt>
                <c:pt idx="4">
                  <c:v>6</c:v>
                </c:pt>
                <c:pt idx="5">
                  <c:v>54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hoja1!$D$202:$D$209</c15:f>
                <c15:dlblRangeCache>
                  <c:ptCount val="8"/>
                  <c:pt idx="1">
                    <c:v>0,00%</c:v>
                  </c:pt>
                  <c:pt idx="2">
                    <c:v>0,00%</c:v>
                  </c:pt>
                  <c:pt idx="3">
                    <c:v>13,16%</c:v>
                  </c:pt>
                  <c:pt idx="4">
                    <c:v>18,42%</c:v>
                  </c:pt>
                  <c:pt idx="5">
                    <c:v>15,79%</c:v>
                  </c:pt>
                  <c:pt idx="6">
                    <c:v>5,26%</c:v>
                  </c:pt>
                  <c:pt idx="7">
                    <c:v>47,37%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6-62B3-4A37-9583-2AB07B5B2426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386234240"/>
        <c:axId val="386230712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4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4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4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/>
                </c:spPr>
                <c:invertIfNegative val="0"/>
                <c:dLbls>
                  <c:dLbl>
                    <c:idx val="0"/>
                    <c:tx>
                      <c:rich>
                        <a:bodyPr/>
                        <a:lstStyle/>
                        <a:p>
                          <a:fld id="{B1489D0E-B5DA-44EE-AA57-79A6C0BD3937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6A313FB5-8B67-4EE7-BD19-49CBD4BAD8BD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7-62B3-4A37-9583-2AB07B5B2426}"/>
                      </c:ext>
                    </c:extLst>
                  </c:dLbl>
                  <c:dLbl>
                    <c:idx val="1"/>
                    <c:tx>
                      <c:rich>
                        <a:bodyPr/>
                        <a:lstStyle/>
                        <a:p>
                          <a:fld id="{D3213A3F-21F4-453A-BF76-9F2A701BA52D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6D342DED-B6BF-4888-BCE5-66114F47F161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8-62B3-4A37-9583-2AB07B5B2426}"/>
                      </c:ext>
                    </c:extLst>
                  </c:dLbl>
                  <c:dLbl>
                    <c:idx val="2"/>
                    <c:tx>
                      <c:rich>
                        <a:bodyPr/>
                        <a:lstStyle/>
                        <a:p>
                          <a:fld id="{57B99DCF-5A09-4501-A98F-2293D317A84D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A85D30B2-333B-40EF-A201-8F0B0F1F1DD7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9-62B3-4A37-9583-2AB07B5B2426}"/>
                      </c:ext>
                    </c:extLst>
                  </c:dLbl>
                  <c:dLbl>
                    <c:idx val="3"/>
                    <c:tx>
                      <c:rich>
                        <a:bodyPr/>
                        <a:lstStyle/>
                        <a:p>
                          <a:fld id="{50BDB722-EDED-4662-8273-1D3895F78438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982A1DD6-4B37-4760-8B92-53EB36FCEFF9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A-62B3-4A37-9583-2AB07B5B2426}"/>
                      </c:ext>
                    </c:extLst>
                  </c:dLbl>
                  <c:dLbl>
                    <c:idx val="4"/>
                    <c:tx>
                      <c:rich>
                        <a:bodyPr/>
                        <a:lstStyle/>
                        <a:p>
                          <a:fld id="{6113D7B5-7824-4C51-89E3-7698730BD430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961E1118-55EE-488A-9F9E-26FD37A4A940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B-62B3-4A37-9583-2AB07B5B2426}"/>
                      </c:ext>
                    </c:extLst>
                  </c:dLbl>
                  <c:dLbl>
                    <c:idx val="5"/>
                    <c:tx>
                      <c:rich>
                        <a:bodyPr/>
                        <a:lstStyle/>
                        <a:p>
                          <a:fld id="{456B2BB1-6095-4A49-981D-84FE09E9F1C2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563C0E69-5A4D-489A-9C93-D4869D9A0949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C-62B3-4A37-9583-2AB07B5B2426}"/>
                      </c:ext>
                    </c:extLst>
                  </c:dLbl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2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eparator>
</c:separator>
                  <c:showLeaderLines val="0"/>
                  <c:extLst>
                    <c:ext uri="{CE6537A1-D6FC-4f65-9D91-7224C49458BB}">
                      <c15:showDataLabelsRange val="1"/>
                      <c15:showLeaderLines val="1"/>
                      <c15:leaderLines>
                        <c:spPr>
                          <a:ln w="9525">
                            <a:solidFill>
                              <a:schemeClr val="tx2">
                                <a:lumMod val="35000"/>
                                <a:lumOff val="65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hoja1!$B$202:$B$209</c15:sqref>
                        </c15:fullRef>
                        <c15:formulaRef>
                          <c15:sqref>hoja1!$B$204:$B$209</c15:sqref>
                        </c15:formulaRef>
                      </c:ext>
                    </c:extLst>
                    <c:strCache>
                      <c:ptCount val="6"/>
                      <c:pt idx="0">
                        <c:v>&lt; 0</c:v>
                      </c:pt>
                      <c:pt idx="1">
                        <c:v>0 - 1</c:v>
                      </c:pt>
                      <c:pt idx="2">
                        <c:v>1,1 - 2</c:v>
                      </c:pt>
                      <c:pt idx="3">
                        <c:v>2,1 - 4</c:v>
                      </c:pt>
                      <c:pt idx="4">
                        <c:v>4,1 - 6</c:v>
                      </c:pt>
                      <c:pt idx="5">
                        <c:v>&gt; 6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hoja1!$D$202:$D$209</c15:sqref>
                        </c15:fullRef>
                        <c15:formulaRef>
                          <c15:sqref>hoja1!$D$204:$D$209</c15:sqref>
                        </c15:formulaRef>
                      </c:ext>
                    </c:extLst>
                    <c:numCache>
                      <c:formatCode>0.00%</c:formatCode>
                      <c:ptCount val="6"/>
                      <c:pt idx="0">
                        <c:v>0</c:v>
                      </c:pt>
                      <c:pt idx="1">
                        <c:v>0.13157894736842105</c:v>
                      </c:pt>
                      <c:pt idx="2">
                        <c:v>0.18421052631578946</c:v>
                      </c:pt>
                      <c:pt idx="3">
                        <c:v>0.15789473684210525</c:v>
                      </c:pt>
                      <c:pt idx="4">
                        <c:v>5.2631578947368418E-2</c:v>
                      </c:pt>
                      <c:pt idx="5">
                        <c:v>0.47368421052631576</c:v>
                      </c:pt>
                    </c:numCache>
                  </c:numRef>
                </c:val>
                <c:extLst>
                  <c:ext uri="{02D57815-91ED-43cb-92C2-25804820EDAC}">
                    <c15:datalabelsRange>
                      <c15:f>hoja1!$D$202:$D$209</c15:f>
                      <c15:dlblRangeCache>
                        <c:ptCount val="8"/>
                        <c:pt idx="1">
                          <c:v>0,00%</c:v>
                        </c:pt>
                        <c:pt idx="2">
                          <c:v>0,00%</c:v>
                        </c:pt>
                        <c:pt idx="3">
                          <c:v>13,16%</c:v>
                        </c:pt>
                        <c:pt idx="4">
                          <c:v>18,42%</c:v>
                        </c:pt>
                        <c:pt idx="5">
                          <c:v>15,79%</c:v>
                        </c:pt>
                        <c:pt idx="6">
                          <c:v>5,26%</c:v>
                        </c:pt>
                        <c:pt idx="7">
                          <c:v>47,37%</c:v>
                        </c:pt>
                      </c15:dlblRangeCache>
                    </c15:datalabelsRange>
                  </c:ext>
                  <c:ext xmlns:c16="http://schemas.microsoft.com/office/drawing/2014/chart" uri="{C3380CC4-5D6E-409C-BE32-E72D297353CC}">
                    <c16:uniqueId val="{0000000D-62B3-4A37-9583-2AB07B5B2426}"/>
                  </c:ext>
                </c:extLst>
              </c15:ser>
            </c15:filteredBarSeries>
          </c:ext>
        </c:extLst>
      </c:barChart>
      <c:catAx>
        <c:axId val="3862342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86230712"/>
        <c:crosses val="autoZero"/>
        <c:auto val="1"/>
        <c:lblAlgn val="ctr"/>
        <c:lblOffset val="100"/>
        <c:noMultiLvlLbl val="0"/>
      </c:catAx>
      <c:valAx>
        <c:axId val="386230712"/>
        <c:scaling>
          <c:orientation val="minMax"/>
          <c:max val="350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N° DE EMPRESAS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862342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 b="1"/>
              <a:t>RENTABILIDAD SOBRE</a:t>
            </a:r>
            <a:r>
              <a:rPr lang="es-CO" b="1" baseline="0"/>
              <a:t> ACTIVOS</a:t>
            </a:r>
            <a:endParaRPr lang="es-CO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0.10426451410554813"/>
          <c:y val="0.16648508430609602"/>
          <c:w val="0.87267468924874958"/>
          <c:h val="0.68722040095182657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CACD8CE1-A9BA-41E1-AB24-5276FF5CA36D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FC4CBB2B-1330-421A-8A83-05FFF74B9674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0-A85A-409A-811B-8680E9E20708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E5E6B1B0-BA07-41B4-884F-3A1383AD8833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786A9222-84A4-4ACC-826F-385B75AE2D70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A85A-409A-811B-8680E9E20708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BC0AA167-D38F-4A80-B389-A2D13D1536F5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A90EBCC5-41C2-4725-872C-E8923A8F1A76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A85A-409A-811B-8680E9E20708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98ACAE4A-5608-4A77-AEEF-29D780DC4F27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35560BDC-8336-432A-ACAD-8B3B82504E19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A85A-409A-811B-8680E9E20708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13CD4EE4-CBAD-4DA4-9A0A-1556FB9EFDC2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81FC2921-3FE2-4E7E-90EE-435FC2B3B6D1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A85A-409A-811B-8680E9E20708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CEF326BC-D108-48B8-9254-43524C7BAD83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B1836E51-C8CE-453E-A49A-B7D5FDE15DCA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A85A-409A-811B-8680E9E20708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A6E0AEFD-5EA4-4CE5-9E1E-1EA669ACED79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F3FA302D-7552-4A21-B13C-B485FC64DEB7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6-A85A-409A-811B-8680E9E2070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hoja1!$B$216:$B$223</c15:sqref>
                  </c15:fullRef>
                </c:ext>
              </c:extLst>
              <c:f>hoja1!$B$217:$B$223</c:f>
              <c:strCache>
                <c:ptCount val="7"/>
                <c:pt idx="0">
                  <c:v>&lt; 0</c:v>
                </c:pt>
                <c:pt idx="1">
                  <c:v> = 0</c:v>
                </c:pt>
                <c:pt idx="2">
                  <c:v>0 - 1</c:v>
                </c:pt>
                <c:pt idx="3">
                  <c:v>1,1 - 2</c:v>
                </c:pt>
                <c:pt idx="4">
                  <c:v>2,1 - 3</c:v>
                </c:pt>
                <c:pt idx="5">
                  <c:v>3,1 - 4</c:v>
                </c:pt>
                <c:pt idx="6">
                  <c:v>&gt; 4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hoja1!$C$216:$C$223</c15:sqref>
                  </c15:fullRef>
                </c:ext>
              </c:extLst>
              <c:f>hoja1!$C$217:$C$223</c:f>
              <c:numCache>
                <c:formatCode>#,##0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</c:v>
                </c:pt>
                <c:pt idx="4">
                  <c:v>7</c:v>
                </c:pt>
                <c:pt idx="5">
                  <c:v>6</c:v>
                </c:pt>
                <c:pt idx="6">
                  <c:v>97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hoja1!$D$216:$D$223</c15:f>
                <c15:dlblRangeCache>
                  <c:ptCount val="8"/>
                  <c:pt idx="1">
                    <c:v>0,00%</c:v>
                  </c:pt>
                  <c:pt idx="2">
                    <c:v>0,00%</c:v>
                  </c:pt>
                  <c:pt idx="3">
                    <c:v>0,00%</c:v>
                  </c:pt>
                  <c:pt idx="4">
                    <c:v>3,51%</c:v>
                  </c:pt>
                  <c:pt idx="5">
                    <c:v>6,14%</c:v>
                  </c:pt>
                  <c:pt idx="6">
                    <c:v>5,26%</c:v>
                  </c:pt>
                  <c:pt idx="7">
                    <c:v>85,09%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7-A85A-409A-811B-8680E9E20708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386228752"/>
        <c:axId val="386233064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hoja1!$B$216:$B$223</c15:sqref>
                        </c15:fullRef>
                        <c15:formulaRef>
                          <c15:sqref>hoja1!$B$217:$B$223</c15:sqref>
                        </c15:formulaRef>
                      </c:ext>
                    </c:extLst>
                    <c:strCache>
                      <c:ptCount val="7"/>
                      <c:pt idx="0">
                        <c:v>&lt; 0</c:v>
                      </c:pt>
                      <c:pt idx="1">
                        <c:v> = 0</c:v>
                      </c:pt>
                      <c:pt idx="2">
                        <c:v>0 - 1</c:v>
                      </c:pt>
                      <c:pt idx="3">
                        <c:v>1,1 - 2</c:v>
                      </c:pt>
                      <c:pt idx="4">
                        <c:v>2,1 - 3</c:v>
                      </c:pt>
                      <c:pt idx="5">
                        <c:v>3,1 - 4</c:v>
                      </c:pt>
                      <c:pt idx="6">
                        <c:v>&gt; 4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hoja1!$D$216:$D$223</c15:sqref>
                        </c15:fullRef>
                        <c15:formulaRef>
                          <c15:sqref>hoja1!$D$217:$D$223</c15:sqref>
                        </c15:formulaRef>
                      </c:ext>
                    </c:extLst>
                    <c:numCache>
                      <c:formatCode>0.00%</c:formatCode>
                      <c:ptCount val="7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3.5087719298245612E-2</c:v>
                      </c:pt>
                      <c:pt idx="4">
                        <c:v>6.1403508771929821E-2</c:v>
                      </c:pt>
                      <c:pt idx="5">
                        <c:v>5.2631578947368418E-2</c:v>
                      </c:pt>
                      <c:pt idx="6">
                        <c:v>0.85087719298245612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8-A85A-409A-811B-8680E9E20708}"/>
                  </c:ext>
                </c:extLst>
              </c15:ser>
            </c15:filteredBarSeries>
          </c:ext>
        </c:extLst>
      </c:barChart>
      <c:catAx>
        <c:axId val="3862287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86233064"/>
        <c:crosses val="autoZero"/>
        <c:auto val="1"/>
        <c:lblAlgn val="ctr"/>
        <c:lblOffset val="100"/>
        <c:noMultiLvlLbl val="0"/>
      </c:catAx>
      <c:valAx>
        <c:axId val="386233064"/>
        <c:scaling>
          <c:orientation val="minMax"/>
          <c:max val="2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N° DE EMPRESAS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862287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RENTABILIDAD SOBRE PATRIMONIO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1B0A2CB1-447B-499F-A87C-4151858A6B7C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4022974C-4B06-461B-AC25-296F0DF6C4AB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0-B3E3-4A9C-B678-20BEE47F1924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0341F0D3-9FCC-449B-BA6D-CF288F42B492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31553EF4-327C-4D5D-BC49-2F651F13F448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B3E3-4A9C-B678-20BEE47F1924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B9AB6B4E-DF19-41D1-8FAC-F39EDADAB14C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4393C9E1-A8AF-42FB-842B-0EEBD7DF00B8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B3E3-4A9C-B678-20BEE47F1924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3E2A3AAC-E9EB-4CE9-9B77-B15961A096F1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CFE494B4-F675-4B8B-B6BC-C95AA5C74EAE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B3E3-4A9C-B678-20BEE47F1924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BD7479C8-B1C9-4F4B-B6C5-1E3EA0BB64F3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86F807E4-576B-43E8-BADC-9A74F95EAAEA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B3E3-4A9C-B678-20BEE47F1924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F23B79A9-55F5-4939-80B3-5D105DD8B46C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BA8669BC-BD66-4FD8-B6A6-E1CA80BE4390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B3E3-4A9C-B678-20BEE47F1924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8BFB8E65-DBB4-4505-9DF5-A75DE3D6A24A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2631DF87-0773-432F-815A-5EA5FA3E5824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6-B3E3-4A9C-B678-20BEE47F192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hoja1!$B$230:$B$237</c15:sqref>
                  </c15:fullRef>
                </c:ext>
              </c:extLst>
              <c:f>hoja1!$B$231:$B$237</c:f>
              <c:strCache>
                <c:ptCount val="7"/>
                <c:pt idx="0">
                  <c:v>&lt; 0</c:v>
                </c:pt>
                <c:pt idx="1">
                  <c:v> = 0</c:v>
                </c:pt>
                <c:pt idx="2">
                  <c:v>0 - 2</c:v>
                </c:pt>
                <c:pt idx="3">
                  <c:v>2,1 - 4</c:v>
                </c:pt>
                <c:pt idx="4">
                  <c:v>4,1 - 6</c:v>
                </c:pt>
                <c:pt idx="5">
                  <c:v>6,1 - 8</c:v>
                </c:pt>
                <c:pt idx="6">
                  <c:v>&gt; 8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hoja1!$C$230:$C$237</c15:sqref>
                  </c15:fullRef>
                </c:ext>
              </c:extLst>
              <c:f>hoja1!$C$231:$C$237</c:f>
              <c:numCache>
                <c:formatCode>#,##0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2</c:v>
                </c:pt>
                <c:pt idx="4">
                  <c:v>4</c:v>
                </c:pt>
                <c:pt idx="5">
                  <c:v>7</c:v>
                </c:pt>
                <c:pt idx="6">
                  <c:v>99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hoja1!$D$230:$D$237</c15:f>
                <c15:dlblRangeCache>
                  <c:ptCount val="8"/>
                  <c:pt idx="1">
                    <c:v>0,00%</c:v>
                  </c:pt>
                  <c:pt idx="2">
                    <c:v>0,00%</c:v>
                  </c:pt>
                  <c:pt idx="3">
                    <c:v>1,75%</c:v>
                  </c:pt>
                  <c:pt idx="4">
                    <c:v>1,75%</c:v>
                  </c:pt>
                  <c:pt idx="5">
                    <c:v>3,51%</c:v>
                  </c:pt>
                  <c:pt idx="6">
                    <c:v>6,14%</c:v>
                  </c:pt>
                  <c:pt idx="7">
                    <c:v>86,84%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7-B3E3-4A9C-B678-20BEE47F1924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386235024"/>
        <c:axId val="386232672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5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5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5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2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tx2">
                                <a:lumMod val="35000"/>
                                <a:lumOff val="65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hoja1!$B$230:$B$237</c15:sqref>
                        </c15:fullRef>
                        <c15:formulaRef>
                          <c15:sqref>hoja1!$B$231:$B$237</c15:sqref>
                        </c15:formulaRef>
                      </c:ext>
                    </c:extLst>
                    <c:strCache>
                      <c:ptCount val="7"/>
                      <c:pt idx="0">
                        <c:v>&lt; 0</c:v>
                      </c:pt>
                      <c:pt idx="1">
                        <c:v> = 0</c:v>
                      </c:pt>
                      <c:pt idx="2">
                        <c:v>0 - 2</c:v>
                      </c:pt>
                      <c:pt idx="3">
                        <c:v>2,1 - 4</c:v>
                      </c:pt>
                      <c:pt idx="4">
                        <c:v>4,1 - 6</c:v>
                      </c:pt>
                      <c:pt idx="5">
                        <c:v>6,1 - 8</c:v>
                      </c:pt>
                      <c:pt idx="6">
                        <c:v>&gt; 8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hoja1!$D$230:$D$237</c15:sqref>
                        </c15:fullRef>
                        <c15:formulaRef>
                          <c15:sqref>hoja1!$D$231:$D$237</c15:sqref>
                        </c15:formulaRef>
                      </c:ext>
                    </c:extLst>
                    <c:numCache>
                      <c:formatCode>0.00%</c:formatCode>
                      <c:ptCount val="7"/>
                      <c:pt idx="0">
                        <c:v>0</c:v>
                      </c:pt>
                      <c:pt idx="1">
                        <c:v>0</c:v>
                      </c:pt>
                      <c:pt idx="2">
                        <c:v>1.7543859649122806E-2</c:v>
                      </c:pt>
                      <c:pt idx="3">
                        <c:v>1.7543859649122806E-2</c:v>
                      </c:pt>
                      <c:pt idx="4">
                        <c:v>3.5087719298245612E-2</c:v>
                      </c:pt>
                      <c:pt idx="5">
                        <c:v>6.1403508771929821E-2</c:v>
                      </c:pt>
                      <c:pt idx="6">
                        <c:v>0.86842105263157898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8-B3E3-4A9C-B678-20BEE47F1924}"/>
                  </c:ext>
                </c:extLst>
              </c15:ser>
            </c15:filteredBarSeries>
          </c:ext>
        </c:extLst>
      </c:barChart>
      <c:catAx>
        <c:axId val="3862350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86232672"/>
        <c:crosses val="autoZero"/>
        <c:auto val="1"/>
        <c:lblAlgn val="ctr"/>
        <c:lblOffset val="100"/>
        <c:noMultiLvlLbl val="0"/>
      </c:catAx>
      <c:valAx>
        <c:axId val="386232672"/>
        <c:scaling>
          <c:orientation val="minMax"/>
          <c:max val="220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N° DE EMPRESAS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862350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.xml"/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6" Type="http://schemas.openxmlformats.org/officeDocument/2006/relationships/chart" Target="../charts/chart5.xml"/><Relationship Id="rId5" Type="http://schemas.openxmlformats.org/officeDocument/2006/relationships/chart" Target="../charts/chart4.xml"/><Relationship Id="rId4" Type="http://schemas.openxmlformats.org/officeDocument/2006/relationships/chart" Target="../charts/chart3.xml"/><Relationship Id="rId9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0</xdr:row>
      <xdr:rowOff>66675</xdr:rowOff>
    </xdr:from>
    <xdr:to>
      <xdr:col>1</xdr:col>
      <xdr:colOff>1962150</xdr:colOff>
      <xdr:row>6</xdr:row>
      <xdr:rowOff>47625</xdr:rowOff>
    </xdr:to>
    <xdr:pic>
      <xdr:nvPicPr>
        <xdr:cNvPr id="2" name="Imagen 1" descr="Descripción: Marca Aerocivil">
          <a:extLst>
            <a:ext uri="{FF2B5EF4-FFF2-40B4-BE49-F238E27FC236}">
              <a16:creationId xmlns:a16="http://schemas.microsoft.com/office/drawing/2014/main" id="{5E22816F-006A-4E36-87CE-4715A2139EEB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85750" y="66675"/>
          <a:ext cx="3505200" cy="933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38098</xdr:colOff>
      <xdr:row>144</xdr:row>
      <xdr:rowOff>152399</xdr:rowOff>
    </xdr:from>
    <xdr:to>
      <xdr:col>15</xdr:col>
      <xdr:colOff>47625</xdr:colOff>
      <xdr:row>157</xdr:row>
      <xdr:rowOff>142874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2F5FE182-499F-4FAD-8526-B1F435D0AD6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28576</xdr:colOff>
      <xdr:row>171</xdr:row>
      <xdr:rowOff>28575</xdr:rowOff>
    </xdr:from>
    <xdr:to>
      <xdr:col>15</xdr:col>
      <xdr:colOff>0</xdr:colOff>
      <xdr:row>185</xdr:row>
      <xdr:rowOff>104775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C564CA7C-61B6-4151-A95D-86395C7EF42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19049</xdr:colOff>
      <xdr:row>186</xdr:row>
      <xdr:rowOff>47624</xdr:rowOff>
    </xdr:from>
    <xdr:to>
      <xdr:col>15</xdr:col>
      <xdr:colOff>0</xdr:colOff>
      <xdr:row>198</xdr:row>
      <xdr:rowOff>57150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8D48AC1D-1011-4905-A7E7-01C998CEF41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10</xdr:col>
      <xdr:colOff>19050</xdr:colOff>
      <xdr:row>160</xdr:row>
      <xdr:rowOff>19050</xdr:rowOff>
    </xdr:from>
    <xdr:to>
      <xdr:col>15</xdr:col>
      <xdr:colOff>0</xdr:colOff>
      <xdr:row>170</xdr:row>
      <xdr:rowOff>19050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BF78327F-F171-4E18-A2D0-F9F965DD491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38100</xdr:colOff>
      <xdr:row>199</xdr:row>
      <xdr:rowOff>28575</xdr:rowOff>
    </xdr:from>
    <xdr:to>
      <xdr:col>15</xdr:col>
      <xdr:colOff>9525</xdr:colOff>
      <xdr:row>212</xdr:row>
      <xdr:rowOff>28575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4EBDE9A7-E8D8-4AB1-A461-9B36FABE13D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10</xdr:col>
      <xdr:colOff>28575</xdr:colOff>
      <xdr:row>212</xdr:row>
      <xdr:rowOff>123825</xdr:rowOff>
    </xdr:from>
    <xdr:to>
      <xdr:col>15</xdr:col>
      <xdr:colOff>0</xdr:colOff>
      <xdr:row>226</xdr:row>
      <xdr:rowOff>133350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7C3F3984-6E5A-4D15-80C5-F49238A34E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10</xdr:col>
      <xdr:colOff>19050</xdr:colOff>
      <xdr:row>227</xdr:row>
      <xdr:rowOff>66675</xdr:rowOff>
    </xdr:from>
    <xdr:to>
      <xdr:col>15</xdr:col>
      <xdr:colOff>9526</xdr:colOff>
      <xdr:row>241</xdr:row>
      <xdr:rowOff>0</xdr:rowOff>
    </xdr:to>
    <xdr:graphicFrame macro="">
      <xdr:nvGraphicFramePr>
        <xdr:cNvPr id="9" name="Gráfico 8">
          <a:extLst>
            <a:ext uri="{FF2B5EF4-FFF2-40B4-BE49-F238E27FC236}">
              <a16:creationId xmlns:a16="http://schemas.microsoft.com/office/drawing/2014/main" id="{6ED33D82-A84B-4273-BC76-2A6751749D3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 editAs="oneCell">
    <xdr:from>
      <xdr:col>1</xdr:col>
      <xdr:colOff>0</xdr:colOff>
      <xdr:row>270</xdr:row>
      <xdr:rowOff>0</xdr:rowOff>
    </xdr:from>
    <xdr:to>
      <xdr:col>3</xdr:col>
      <xdr:colOff>866775</xdr:colOff>
      <xdr:row>279</xdr:row>
      <xdr:rowOff>142875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85D899D7-C1E2-D87E-D8E6-AFB83DE9D1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828800" y="64493775"/>
          <a:ext cx="4762500" cy="15144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3:Q294"/>
  <sheetViews>
    <sheetView tabSelected="1" topLeftCell="A236" workbookViewId="0">
      <selection activeCell="E252" sqref="E252"/>
    </sheetView>
  </sheetViews>
  <sheetFormatPr baseColWidth="10" defaultRowHeight="12" x14ac:dyDescent="0.2"/>
  <cols>
    <col min="1" max="1" width="27.42578125" style="16" customWidth="1"/>
    <col min="2" max="2" width="30.140625" style="16" customWidth="1"/>
    <col min="3" max="3" width="28.28515625" style="16" customWidth="1"/>
    <col min="4" max="4" width="17.5703125" style="16" customWidth="1"/>
    <col min="5" max="6" width="15.7109375" style="16" customWidth="1"/>
    <col min="7" max="7" width="17.42578125" style="16" bestFit="1" customWidth="1"/>
    <col min="8" max="8" width="16.28515625" style="16" customWidth="1"/>
    <col min="9" max="9" width="15.85546875" style="16" customWidth="1"/>
    <col min="10" max="10" width="16.140625" style="16" customWidth="1"/>
    <col min="11" max="13" width="17.140625" style="16" customWidth="1"/>
    <col min="14" max="14" width="9.28515625" style="16" customWidth="1"/>
    <col min="15" max="15" width="15.5703125" style="16" customWidth="1"/>
    <col min="16" max="16" width="12.28515625" style="16" customWidth="1"/>
    <col min="17" max="17" width="40.7109375" style="16" customWidth="1"/>
    <col min="18" max="16384" width="11.42578125" style="16"/>
  </cols>
  <sheetData>
    <row r="3" spans="1:10" ht="14.25" x14ac:dyDescent="0.2">
      <c r="D3" s="78"/>
      <c r="F3" s="102" t="s">
        <v>60</v>
      </c>
      <c r="G3" s="102"/>
      <c r="H3" s="102"/>
      <c r="I3" s="102"/>
      <c r="J3" s="102"/>
    </row>
    <row r="4" spans="1:10" ht="12.75" x14ac:dyDescent="0.2">
      <c r="D4" s="77"/>
      <c r="F4" s="102" t="s">
        <v>59</v>
      </c>
      <c r="G4" s="102"/>
      <c r="H4" s="102"/>
      <c r="I4" s="102"/>
      <c r="J4" s="102"/>
    </row>
    <row r="5" spans="1:10" x14ac:dyDescent="0.2">
      <c r="F5" s="102" t="s">
        <v>61</v>
      </c>
      <c r="G5" s="102"/>
      <c r="H5" s="102"/>
      <c r="I5" s="102"/>
      <c r="J5" s="102"/>
    </row>
    <row r="7" spans="1:10" ht="12.75" thickBot="1" x14ac:dyDescent="0.25"/>
    <row r="8" spans="1:10" ht="47.25" customHeight="1" thickTop="1" thickBot="1" x14ac:dyDescent="0.25">
      <c r="A8" s="23" t="s">
        <v>13</v>
      </c>
      <c r="B8" s="103" t="s">
        <v>212</v>
      </c>
      <c r="C8" s="104"/>
      <c r="D8" s="104"/>
      <c r="E8" s="104"/>
      <c r="F8" s="105"/>
      <c r="G8" s="23" t="s">
        <v>16</v>
      </c>
      <c r="H8" s="106"/>
      <c r="I8" s="107"/>
      <c r="J8" s="108"/>
    </row>
    <row r="9" spans="1:10" s="21" customFormat="1" ht="13.5" customHeight="1" thickTop="1" thickBot="1" x14ac:dyDescent="0.25">
      <c r="A9" s="26"/>
      <c r="B9" s="25"/>
      <c r="C9" s="25"/>
      <c r="D9" s="25"/>
      <c r="E9" s="25"/>
      <c r="F9" s="25"/>
      <c r="G9" s="26"/>
      <c r="H9" s="25"/>
      <c r="I9" s="25"/>
      <c r="J9" s="25"/>
    </row>
    <row r="10" spans="1:10" ht="18" customHeight="1" thickTop="1" thickBot="1" x14ac:dyDescent="0.25">
      <c r="A10" s="100" t="s">
        <v>64</v>
      </c>
      <c r="B10" s="101"/>
      <c r="C10" s="101"/>
      <c r="D10" s="101"/>
      <c r="E10" s="101"/>
      <c r="F10" s="101"/>
      <c r="G10" s="101"/>
      <c r="H10" s="101"/>
      <c r="I10" s="45"/>
    </row>
    <row r="11" spans="1:10" ht="39" customHeight="1" thickTop="1" thickBot="1" x14ac:dyDescent="0.25">
      <c r="A11" s="24" t="s">
        <v>63</v>
      </c>
      <c r="B11" s="27">
        <v>26525050298</v>
      </c>
      <c r="C11" s="24" t="s">
        <v>58</v>
      </c>
      <c r="D11" s="28">
        <v>31</v>
      </c>
      <c r="E11" s="24" t="s">
        <v>120</v>
      </c>
      <c r="F11" s="71">
        <f>MROUND((2.5*($B$11/$D$11)),100000)</f>
        <v>2139100000</v>
      </c>
      <c r="G11" s="24" t="s">
        <v>121</v>
      </c>
      <c r="H11" s="71">
        <f>MROUND(($B$11*40%),100000)</f>
        <v>10610000000</v>
      </c>
    </row>
    <row r="12" spans="1:10" ht="13.5" thickTop="1" thickBot="1" x14ac:dyDescent="0.25"/>
    <row r="13" spans="1:10" ht="13.5" thickTop="1" thickBot="1" x14ac:dyDescent="0.25">
      <c r="A13" s="94" t="s">
        <v>86</v>
      </c>
      <c r="B13" s="95"/>
      <c r="C13" s="95"/>
      <c r="D13" s="95"/>
      <c r="E13" s="95"/>
      <c r="F13" s="95"/>
      <c r="G13" s="95"/>
      <c r="H13" s="95"/>
      <c r="I13" s="95"/>
      <c r="J13" s="96"/>
    </row>
    <row r="14" spans="1:10" ht="15.75" thickTop="1" x14ac:dyDescent="0.25">
      <c r="B14"/>
    </row>
    <row r="15" spans="1:10" x14ac:dyDescent="0.2">
      <c r="A15" s="17" t="s">
        <v>62</v>
      </c>
    </row>
    <row r="16" spans="1:10" x14ac:dyDescent="0.2">
      <c r="A16" s="18" t="s">
        <v>56</v>
      </c>
    </row>
    <row r="17" spans="1:17" x14ac:dyDescent="0.2">
      <c r="A17" s="18" t="s">
        <v>55</v>
      </c>
    </row>
    <row r="19" spans="1:17" ht="36" x14ac:dyDescent="0.2">
      <c r="A19" s="11" t="s">
        <v>0</v>
      </c>
      <c r="B19" s="11" t="s">
        <v>1</v>
      </c>
      <c r="C19" s="11" t="s">
        <v>2</v>
      </c>
      <c r="D19" s="12" t="s">
        <v>3</v>
      </c>
      <c r="E19" s="12" t="s">
        <v>4</v>
      </c>
      <c r="F19" s="12" t="s">
        <v>5</v>
      </c>
      <c r="G19" s="12" t="s">
        <v>6</v>
      </c>
      <c r="H19" s="12" t="s">
        <v>7</v>
      </c>
      <c r="I19" s="12" t="s">
        <v>8</v>
      </c>
      <c r="J19" s="12" t="s">
        <v>9</v>
      </c>
    </row>
    <row r="20" spans="1:17" ht="15" customHeight="1" x14ac:dyDescent="0.25">
      <c r="A20" s="76">
        <v>800163515</v>
      </c>
      <c r="B20" t="s">
        <v>122</v>
      </c>
      <c r="C20" t="s">
        <v>123</v>
      </c>
      <c r="D20" s="84">
        <v>2.0792395387279523</v>
      </c>
      <c r="E20" s="85">
        <v>25680766</v>
      </c>
      <c r="F20" s="66">
        <v>0.49663980794065254</v>
      </c>
      <c r="G20" s="76">
        <v>29790554</v>
      </c>
      <c r="H20" s="66">
        <v>0.28401203155487609</v>
      </c>
      <c r="I20" s="66">
        <v>0.56423220595360535</v>
      </c>
      <c r="J20" s="86">
        <v>11.652306470095228</v>
      </c>
      <c r="N20"/>
      <c r="O20"/>
      <c r="P20"/>
      <c r="Q20"/>
    </row>
    <row r="21" spans="1:17" ht="15" customHeight="1" x14ac:dyDescent="0.25">
      <c r="A21" s="76">
        <v>860034944</v>
      </c>
      <c r="B21" t="s">
        <v>124</v>
      </c>
      <c r="C21" t="s">
        <v>123</v>
      </c>
      <c r="D21" s="84">
        <v>1.6252082256031839</v>
      </c>
      <c r="E21" s="85">
        <v>105152753</v>
      </c>
      <c r="F21" s="66">
        <v>0.58881989618991804</v>
      </c>
      <c r="G21" s="76">
        <v>127636129</v>
      </c>
      <c r="H21" s="66">
        <v>0.17536570479840793</v>
      </c>
      <c r="I21" s="66">
        <v>0.42649365368954428</v>
      </c>
      <c r="J21" s="86">
        <v>3.0627757066450916</v>
      </c>
      <c r="N21"/>
      <c r="O21"/>
      <c r="P21"/>
      <c r="Q21"/>
    </row>
    <row r="22" spans="1:17" ht="15" customHeight="1" x14ac:dyDescent="0.25">
      <c r="A22" s="76">
        <v>890209612</v>
      </c>
      <c r="B22" t="s">
        <v>125</v>
      </c>
      <c r="C22" t="s">
        <v>123</v>
      </c>
      <c r="D22" s="84">
        <v>1.1385331012688527</v>
      </c>
      <c r="E22" s="85">
        <v>25244861</v>
      </c>
      <c r="F22" s="66">
        <v>0.74521175465812761</v>
      </c>
      <c r="G22" s="76">
        <v>70615310</v>
      </c>
      <c r="H22" s="66">
        <v>5.0100371479017532E-2</v>
      </c>
      <c r="I22" s="66">
        <v>0.19663533304604908</v>
      </c>
      <c r="J22" s="86">
        <v>1.6597648579839905</v>
      </c>
      <c r="N22"/>
      <c r="O22"/>
      <c r="P22"/>
      <c r="Q22"/>
    </row>
    <row r="23" spans="1:17" ht="15" customHeight="1" x14ac:dyDescent="0.25">
      <c r="A23" s="76">
        <v>890300431</v>
      </c>
      <c r="B23" t="s">
        <v>126</v>
      </c>
      <c r="C23" t="s">
        <v>123</v>
      </c>
      <c r="D23" s="84">
        <v>1.2993102236224892</v>
      </c>
      <c r="E23" s="85">
        <v>138333617</v>
      </c>
      <c r="F23" s="66">
        <v>0.82808228220204028</v>
      </c>
      <c r="G23" s="76">
        <v>161956765</v>
      </c>
      <c r="H23" s="66">
        <v>9.7525600090217629E-2</v>
      </c>
      <c r="I23" s="66">
        <v>0.56728068135962084</v>
      </c>
      <c r="J23" s="86">
        <v>0.47015528428686454</v>
      </c>
      <c r="N23"/>
      <c r="O23"/>
      <c r="P23"/>
      <c r="Q23"/>
    </row>
    <row r="24" spans="1:17" ht="15" customHeight="1" x14ac:dyDescent="0.25">
      <c r="A24" s="76">
        <v>900299626</v>
      </c>
      <c r="B24" t="s">
        <v>127</v>
      </c>
      <c r="C24" t="s">
        <v>123</v>
      </c>
      <c r="D24" s="84">
        <v>1.2188348298183336</v>
      </c>
      <c r="E24" s="85">
        <v>4328240</v>
      </c>
      <c r="F24" s="66">
        <v>0.80482641550982392</v>
      </c>
      <c r="G24" s="76">
        <v>5410097</v>
      </c>
      <c r="H24" s="66">
        <v>4.2461001698015817E-2</v>
      </c>
      <c r="I24" s="66">
        <v>0.21755506416982912</v>
      </c>
      <c r="J24" s="86">
        <v>1.2683494024071822</v>
      </c>
      <c r="N24"/>
      <c r="O24"/>
      <c r="P24"/>
      <c r="Q24"/>
    </row>
    <row r="25" spans="1:17" ht="15" customHeight="1" x14ac:dyDescent="0.25">
      <c r="A25" s="76">
        <v>900649261</v>
      </c>
      <c r="B25" t="s">
        <v>128</v>
      </c>
      <c r="C25" t="s">
        <v>123</v>
      </c>
      <c r="D25" s="84">
        <v>4.4936518902954727</v>
      </c>
      <c r="E25" s="85">
        <v>48954584</v>
      </c>
      <c r="F25" s="66">
        <v>0.46934190479352955</v>
      </c>
      <c r="G25" s="76">
        <v>37602742</v>
      </c>
      <c r="H25" s="66">
        <v>0.10135612347417464</v>
      </c>
      <c r="I25" s="66">
        <v>0.19100080520723728</v>
      </c>
      <c r="J25" s="86">
        <v>3.9657074704662727</v>
      </c>
      <c r="N25"/>
      <c r="O25"/>
      <c r="P25"/>
      <c r="Q25"/>
    </row>
    <row r="26" spans="1:17" ht="15" customHeight="1" x14ac:dyDescent="0.25">
      <c r="A26" s="76">
        <v>800055554</v>
      </c>
      <c r="B26" t="s">
        <v>129</v>
      </c>
      <c r="C26" t="s">
        <v>130</v>
      </c>
      <c r="D26" s="84">
        <v>2.5280140618520428</v>
      </c>
      <c r="E26" s="85">
        <v>4863791</v>
      </c>
      <c r="F26" s="66">
        <v>0.35182828228543916</v>
      </c>
      <c r="G26" s="76">
        <v>5933968</v>
      </c>
      <c r="H26" s="66">
        <v>0.11056892612637648</v>
      </c>
      <c r="I26" s="66">
        <v>0.17058585418728245</v>
      </c>
      <c r="J26" s="86">
        <v>64.062464400987281</v>
      </c>
      <c r="N26"/>
      <c r="O26"/>
      <c r="P26"/>
      <c r="Q26"/>
    </row>
    <row r="27" spans="1:17" ht="15" customHeight="1" x14ac:dyDescent="0.25">
      <c r="A27" s="76">
        <v>800077715</v>
      </c>
      <c r="B27" t="s">
        <v>131</v>
      </c>
      <c r="C27" t="s">
        <v>130</v>
      </c>
      <c r="D27" s="84">
        <v>1.593111027457137</v>
      </c>
      <c r="E27" s="85">
        <v>7876260</v>
      </c>
      <c r="F27" s="66">
        <v>0.60055912769013042</v>
      </c>
      <c r="G27" s="76">
        <v>8862276</v>
      </c>
      <c r="H27" s="66">
        <v>0.11343668322418161</v>
      </c>
      <c r="I27" s="66">
        <v>0.2839886728871906</v>
      </c>
      <c r="J27" s="86">
        <v>0.86945644160673463</v>
      </c>
      <c r="N27"/>
      <c r="O27"/>
      <c r="P27"/>
      <c r="Q27"/>
    </row>
    <row r="28" spans="1:17" ht="15" customHeight="1" x14ac:dyDescent="0.25">
      <c r="A28" s="76">
        <v>800151545</v>
      </c>
      <c r="B28" t="s">
        <v>132</v>
      </c>
      <c r="C28" t="s">
        <v>130</v>
      </c>
      <c r="D28" s="84">
        <v>17.683658294125735</v>
      </c>
      <c r="E28" s="85">
        <v>10556468</v>
      </c>
      <c r="F28" s="66">
        <v>0.2010584284172377</v>
      </c>
      <c r="G28" s="76">
        <v>10095802</v>
      </c>
      <c r="H28" s="66">
        <v>0.21395506704363901</v>
      </c>
      <c r="I28" s="66">
        <v>0.26779814025671267</v>
      </c>
      <c r="J28" s="86"/>
      <c r="N28"/>
      <c r="O28"/>
      <c r="P28"/>
      <c r="Q28"/>
    </row>
    <row r="29" spans="1:17" ht="15" customHeight="1" x14ac:dyDescent="0.25">
      <c r="A29" s="76">
        <v>811017576</v>
      </c>
      <c r="B29" t="s">
        <v>133</v>
      </c>
      <c r="C29" t="s">
        <v>130</v>
      </c>
      <c r="D29" s="84">
        <v>6.1781108074018674</v>
      </c>
      <c r="E29" s="85">
        <v>15772743</v>
      </c>
      <c r="F29" s="66">
        <v>0.15961814931065321</v>
      </c>
      <c r="G29" s="76">
        <v>17864613</v>
      </c>
      <c r="H29" s="66">
        <v>0.15106944846847029</v>
      </c>
      <c r="I29" s="66">
        <v>0.17976286416056145</v>
      </c>
      <c r="J29" s="86"/>
      <c r="N29"/>
      <c r="O29"/>
      <c r="P29"/>
      <c r="Q29"/>
    </row>
    <row r="30" spans="1:17" ht="15" customHeight="1" x14ac:dyDescent="0.25">
      <c r="A30" s="76">
        <v>811046559</v>
      </c>
      <c r="B30" t="s">
        <v>134</v>
      </c>
      <c r="C30" t="s">
        <v>130</v>
      </c>
      <c r="D30" s="84">
        <v>2.1952889926844721</v>
      </c>
      <c r="E30" s="85">
        <v>5684198</v>
      </c>
      <c r="F30" s="66">
        <v>0.44383071699901622</v>
      </c>
      <c r="G30" s="76">
        <v>5959172</v>
      </c>
      <c r="H30" s="66">
        <v>0.15749477375557799</v>
      </c>
      <c r="I30" s="66">
        <v>0.28317776362219449</v>
      </c>
      <c r="J30" s="86">
        <v>1.9441660214934837</v>
      </c>
      <c r="N30"/>
      <c r="O30"/>
      <c r="P30"/>
      <c r="Q30"/>
    </row>
    <row r="31" spans="1:17" ht="15" customHeight="1" x14ac:dyDescent="0.25">
      <c r="A31" s="76">
        <v>816004795</v>
      </c>
      <c r="B31" t="s">
        <v>135</v>
      </c>
      <c r="C31" t="s">
        <v>130</v>
      </c>
      <c r="D31" s="84">
        <v>1.6124229886736852</v>
      </c>
      <c r="E31" s="85">
        <v>6136550</v>
      </c>
      <c r="F31" s="66">
        <v>0.60126849000300309</v>
      </c>
      <c r="G31" s="76">
        <v>6657187</v>
      </c>
      <c r="H31" s="66">
        <v>0.15360237241279512</v>
      </c>
      <c r="I31" s="66">
        <v>0.38522757434934607</v>
      </c>
      <c r="J31" s="86">
        <v>1.2209126952388569</v>
      </c>
      <c r="N31"/>
      <c r="O31"/>
      <c r="P31"/>
      <c r="Q31"/>
    </row>
    <row r="32" spans="1:17" ht="15" customHeight="1" x14ac:dyDescent="0.25">
      <c r="A32" s="76">
        <v>830005066</v>
      </c>
      <c r="B32" t="s">
        <v>136</v>
      </c>
      <c r="C32" t="s">
        <v>130</v>
      </c>
      <c r="D32" s="84">
        <v>21.180500811214706</v>
      </c>
      <c r="E32" s="85">
        <v>16393872</v>
      </c>
      <c r="F32" s="66">
        <v>6.7337095228035854E-2</v>
      </c>
      <c r="G32" s="76">
        <v>16834516</v>
      </c>
      <c r="H32" s="66">
        <v>0.23329154373694283</v>
      </c>
      <c r="I32" s="66">
        <v>0.25013490141326311</v>
      </c>
      <c r="J32" s="86">
        <v>7.7806869561843239</v>
      </c>
      <c r="N32"/>
      <c r="O32"/>
      <c r="P32"/>
      <c r="Q32"/>
    </row>
    <row r="33" spans="1:17" ht="15" customHeight="1" x14ac:dyDescent="0.25">
      <c r="A33" s="76">
        <v>830008146</v>
      </c>
      <c r="B33" t="s">
        <v>137</v>
      </c>
      <c r="C33" t="s">
        <v>130</v>
      </c>
      <c r="D33" s="84">
        <v>2.6741878283256808</v>
      </c>
      <c r="E33" s="85">
        <v>48628535</v>
      </c>
      <c r="F33" s="66">
        <v>0.91006540301197814</v>
      </c>
      <c r="G33" s="76">
        <v>8551630</v>
      </c>
      <c r="H33" s="66">
        <v>0.1072598501180143</v>
      </c>
      <c r="I33" s="66">
        <v>1.1926428061083092</v>
      </c>
      <c r="J33" s="86">
        <v>1.0717727644682713</v>
      </c>
      <c r="N33"/>
      <c r="O33"/>
      <c r="P33"/>
      <c r="Q33"/>
    </row>
    <row r="34" spans="1:17" ht="15" customHeight="1" x14ac:dyDescent="0.25">
      <c r="A34" s="76">
        <v>830028931</v>
      </c>
      <c r="B34" t="s">
        <v>138</v>
      </c>
      <c r="C34" t="s">
        <v>130</v>
      </c>
      <c r="D34" s="84">
        <v>1.1183121286066449</v>
      </c>
      <c r="E34" s="85">
        <v>190757709</v>
      </c>
      <c r="F34" s="66">
        <v>0.8656244254038955</v>
      </c>
      <c r="G34" s="76">
        <v>251190016</v>
      </c>
      <c r="H34" s="66">
        <v>4.6142277091119829E-2</v>
      </c>
      <c r="I34" s="66">
        <v>0.34338291932749426</v>
      </c>
      <c r="J34" s="86"/>
      <c r="N34"/>
      <c r="O34"/>
      <c r="P34"/>
      <c r="Q34"/>
    </row>
    <row r="35" spans="1:17" ht="15" customHeight="1" x14ac:dyDescent="0.25">
      <c r="A35" s="76">
        <v>830040391</v>
      </c>
      <c r="B35" t="s">
        <v>139</v>
      </c>
      <c r="C35" t="s">
        <v>130</v>
      </c>
      <c r="D35" s="84">
        <v>19.762439824200232</v>
      </c>
      <c r="E35" s="85">
        <v>21490386</v>
      </c>
      <c r="F35" s="66">
        <v>0.43751567405331038</v>
      </c>
      <c r="G35" s="76">
        <v>14547423</v>
      </c>
      <c r="H35" s="66">
        <v>0.17371846658866019</v>
      </c>
      <c r="I35" s="66">
        <v>0.30884143535250197</v>
      </c>
      <c r="J35" s="86">
        <v>26.247864695916341</v>
      </c>
      <c r="N35"/>
      <c r="O35"/>
      <c r="P35"/>
      <c r="Q35"/>
    </row>
    <row r="36" spans="1:17" ht="15" customHeight="1" x14ac:dyDescent="0.25">
      <c r="A36" s="76">
        <v>830045053</v>
      </c>
      <c r="B36" t="s">
        <v>140</v>
      </c>
      <c r="C36" t="s">
        <v>130</v>
      </c>
      <c r="D36" s="84">
        <v>2.8120093691090067</v>
      </c>
      <c r="E36" s="85">
        <v>11581717</v>
      </c>
      <c r="F36" s="66">
        <v>0.28951664281448364</v>
      </c>
      <c r="G36" s="76">
        <v>15685302</v>
      </c>
      <c r="H36" s="66">
        <v>8.053949493464789E-2</v>
      </c>
      <c r="I36" s="66">
        <v>0.11335873545820158</v>
      </c>
      <c r="J36" s="86"/>
      <c r="N36"/>
      <c r="O36"/>
      <c r="P36"/>
      <c r="Q36"/>
    </row>
    <row r="37" spans="1:17" ht="15" customHeight="1" x14ac:dyDescent="0.25">
      <c r="A37" s="76">
        <v>830056149</v>
      </c>
      <c r="B37" t="s">
        <v>141</v>
      </c>
      <c r="C37" t="s">
        <v>130</v>
      </c>
      <c r="D37" s="84">
        <v>2.4290984678220728</v>
      </c>
      <c r="E37" s="85">
        <v>40705549</v>
      </c>
      <c r="F37" s="66">
        <v>0.37051633491343561</v>
      </c>
      <c r="G37" s="76">
        <v>51654158</v>
      </c>
      <c r="H37" s="66">
        <v>0.37124652593203</v>
      </c>
      <c r="I37" s="66">
        <v>0.58976355785336776</v>
      </c>
      <c r="J37" s="86">
        <v>3.8427491835475851</v>
      </c>
      <c r="N37"/>
      <c r="O37"/>
      <c r="P37"/>
      <c r="Q37"/>
    </row>
    <row r="38" spans="1:17" ht="15" customHeight="1" x14ac:dyDescent="0.25">
      <c r="A38" s="76">
        <v>830067633</v>
      </c>
      <c r="B38" t="s">
        <v>142</v>
      </c>
      <c r="C38" t="s">
        <v>130</v>
      </c>
      <c r="D38" s="84">
        <v>2.2551795293242951</v>
      </c>
      <c r="E38" s="85">
        <v>9261607</v>
      </c>
      <c r="F38" s="66">
        <v>0.36654138883943238</v>
      </c>
      <c r="G38" s="76">
        <v>32743252</v>
      </c>
      <c r="H38" s="66">
        <v>0.10020538542273272</v>
      </c>
      <c r="I38" s="66">
        <v>0.15818773895763316</v>
      </c>
      <c r="J38" s="86">
        <v>9.3524291198255032</v>
      </c>
      <c r="N38"/>
      <c r="O38"/>
      <c r="P38"/>
      <c r="Q38"/>
    </row>
    <row r="39" spans="1:17" ht="15" customHeight="1" x14ac:dyDescent="0.25">
      <c r="A39" s="76">
        <v>830073770</v>
      </c>
      <c r="B39" t="s">
        <v>143</v>
      </c>
      <c r="C39" t="s">
        <v>130</v>
      </c>
      <c r="D39" s="84">
        <v>2.0271880094571779</v>
      </c>
      <c r="E39" s="85">
        <v>6339185</v>
      </c>
      <c r="F39" s="66">
        <v>0.57248074682906647</v>
      </c>
      <c r="G39" s="76">
        <v>5470568</v>
      </c>
      <c r="H39" s="66">
        <v>8.6074838266799639E-2</v>
      </c>
      <c r="I39" s="66">
        <v>0.20133558343484625</v>
      </c>
      <c r="J39" s="86">
        <v>2.7032293849982576</v>
      </c>
      <c r="N39"/>
      <c r="O39"/>
      <c r="P39"/>
      <c r="Q39"/>
    </row>
    <row r="40" spans="1:17" ht="15" customHeight="1" x14ac:dyDescent="0.25">
      <c r="A40" s="76">
        <v>830140479</v>
      </c>
      <c r="B40" t="s">
        <v>144</v>
      </c>
      <c r="C40" t="s">
        <v>130</v>
      </c>
      <c r="D40" s="84">
        <v>7.4892829526884288</v>
      </c>
      <c r="E40" s="85">
        <v>8140481</v>
      </c>
      <c r="F40" s="66">
        <v>0.20694377170799871</v>
      </c>
      <c r="G40" s="76">
        <v>8363295</v>
      </c>
      <c r="H40" s="66">
        <v>0.25139830140421854</v>
      </c>
      <c r="I40" s="66">
        <v>0.31699934057091134</v>
      </c>
      <c r="J40" s="86"/>
      <c r="N40"/>
      <c r="O40"/>
      <c r="P40"/>
      <c r="Q40"/>
    </row>
    <row r="41" spans="1:17" ht="15" customHeight="1" x14ac:dyDescent="0.25">
      <c r="A41" s="76">
        <v>830513366</v>
      </c>
      <c r="B41" t="s">
        <v>145</v>
      </c>
      <c r="C41" t="s">
        <v>130</v>
      </c>
      <c r="D41" s="84">
        <v>1.449639661551696</v>
      </c>
      <c r="E41" s="85">
        <v>8988215</v>
      </c>
      <c r="F41" s="66">
        <v>0.65888650153566075</v>
      </c>
      <c r="G41" s="76">
        <v>12290684</v>
      </c>
      <c r="H41" s="66">
        <v>9.9012660434804195E-2</v>
      </c>
      <c r="I41" s="66">
        <v>0.29026309683008694</v>
      </c>
      <c r="J41" s="86">
        <v>1.8306789795294209</v>
      </c>
      <c r="N41"/>
      <c r="O41"/>
      <c r="P41"/>
      <c r="Q41"/>
    </row>
    <row r="42" spans="1:17" ht="15" customHeight="1" x14ac:dyDescent="0.25">
      <c r="A42" s="76">
        <v>860003841</v>
      </c>
      <c r="B42" t="s">
        <v>146</v>
      </c>
      <c r="C42" t="s">
        <v>130</v>
      </c>
      <c r="D42" s="84">
        <v>26.162465347930272</v>
      </c>
      <c r="E42" s="85">
        <v>6426393</v>
      </c>
      <c r="F42" s="66">
        <v>3.8029136671472251E-2</v>
      </c>
      <c r="G42" s="76">
        <v>6460402</v>
      </c>
      <c r="H42" s="66">
        <v>0.14609358411316123</v>
      </c>
      <c r="I42" s="66">
        <v>0.15186903229860929</v>
      </c>
      <c r="J42" s="86"/>
      <c r="N42"/>
      <c r="O42"/>
      <c r="P42"/>
      <c r="Q42"/>
    </row>
    <row r="43" spans="1:17" ht="15" customHeight="1" x14ac:dyDescent="0.25">
      <c r="A43" s="76">
        <v>860004871</v>
      </c>
      <c r="B43" t="s">
        <v>147</v>
      </c>
      <c r="C43" t="s">
        <v>130</v>
      </c>
      <c r="D43" s="84">
        <v>2.6195283848633824</v>
      </c>
      <c r="E43" s="85">
        <v>5135416</v>
      </c>
      <c r="F43" s="66">
        <v>0.33873425238922522</v>
      </c>
      <c r="G43" s="76">
        <v>8876635</v>
      </c>
      <c r="H43" s="66">
        <v>5.6656870313653393E-2</v>
      </c>
      <c r="I43" s="66">
        <v>8.567942694500788E-2</v>
      </c>
      <c r="J43" s="86">
        <v>40.915913492575854</v>
      </c>
      <c r="N43"/>
      <c r="O43"/>
      <c r="P43"/>
      <c r="Q43"/>
    </row>
    <row r="44" spans="1:17" ht="15" customHeight="1" x14ac:dyDescent="0.25">
      <c r="A44" s="76">
        <v>860030723</v>
      </c>
      <c r="B44" t="s">
        <v>148</v>
      </c>
      <c r="C44" t="s">
        <v>130</v>
      </c>
      <c r="D44" s="84">
        <v>1.6165550837306861</v>
      </c>
      <c r="E44" s="85">
        <v>18716082</v>
      </c>
      <c r="F44" s="66">
        <v>0.58982680020978306</v>
      </c>
      <c r="G44" s="76">
        <v>21345586</v>
      </c>
      <c r="H44" s="66">
        <v>0.18948534255708654</v>
      </c>
      <c r="I44" s="66">
        <v>0.4619642206121678</v>
      </c>
      <c r="J44" s="86">
        <v>3.2457169320824746</v>
      </c>
      <c r="N44"/>
      <c r="O44"/>
      <c r="P44"/>
      <c r="Q44"/>
    </row>
    <row r="45" spans="1:17" ht="15" customHeight="1" x14ac:dyDescent="0.25">
      <c r="A45" s="76">
        <v>860400538</v>
      </c>
      <c r="B45" t="s">
        <v>149</v>
      </c>
      <c r="C45" t="s">
        <v>130</v>
      </c>
      <c r="D45" s="84">
        <v>1.3846632592862917</v>
      </c>
      <c r="E45" s="85">
        <v>6583589</v>
      </c>
      <c r="F45" s="66">
        <v>0.61253976077043815</v>
      </c>
      <c r="G45" s="76">
        <v>11109179</v>
      </c>
      <c r="H45" s="66">
        <v>0.21629004619906722</v>
      </c>
      <c r="I45" s="66">
        <v>0.55822513976955457</v>
      </c>
      <c r="J45" s="86"/>
      <c r="N45"/>
      <c r="O45"/>
      <c r="P45"/>
      <c r="Q45"/>
    </row>
    <row r="46" spans="1:17" ht="15" customHeight="1" x14ac:dyDescent="0.25">
      <c r="A46" s="76">
        <v>860402718</v>
      </c>
      <c r="B46" t="s">
        <v>150</v>
      </c>
      <c r="C46" t="s">
        <v>130</v>
      </c>
      <c r="D46" s="84">
        <v>3.2127198215616279</v>
      </c>
      <c r="E46" s="85">
        <v>5452239</v>
      </c>
      <c r="F46" s="66">
        <v>0.22982505725129054</v>
      </c>
      <c r="G46" s="76">
        <v>8635518</v>
      </c>
      <c r="H46" s="66">
        <v>4.6358182909991434E-2</v>
      </c>
      <c r="I46" s="66">
        <v>6.0191756881289575E-2</v>
      </c>
      <c r="J46" s="86">
        <v>1.6600832298017623</v>
      </c>
      <c r="N46"/>
      <c r="O46"/>
      <c r="P46"/>
      <c r="Q46"/>
    </row>
    <row r="47" spans="1:17" ht="15" customHeight="1" x14ac:dyDescent="0.25">
      <c r="A47" s="76">
        <v>860500630</v>
      </c>
      <c r="B47" t="s">
        <v>151</v>
      </c>
      <c r="C47" t="s">
        <v>130</v>
      </c>
      <c r="D47" s="84">
        <v>1.3383681296681593</v>
      </c>
      <c r="E47" s="85">
        <v>6334763</v>
      </c>
      <c r="F47" s="66">
        <v>0.60850102015042251</v>
      </c>
      <c r="G47" s="76">
        <v>15769326</v>
      </c>
      <c r="H47" s="66">
        <v>8.688878178135627E-2</v>
      </c>
      <c r="I47" s="66">
        <v>0.22193871824325276</v>
      </c>
      <c r="J47" s="86">
        <v>3.4809606741070143</v>
      </c>
      <c r="N47"/>
      <c r="O47"/>
      <c r="P47"/>
      <c r="Q47"/>
    </row>
    <row r="48" spans="1:17" ht="15" customHeight="1" x14ac:dyDescent="0.25">
      <c r="A48" s="76">
        <v>860528320</v>
      </c>
      <c r="B48" t="s">
        <v>152</v>
      </c>
      <c r="C48" t="s">
        <v>130</v>
      </c>
      <c r="D48" s="84">
        <v>4.8180264986125243</v>
      </c>
      <c r="E48" s="85">
        <v>14467476</v>
      </c>
      <c r="F48" s="66">
        <v>0.17978547897137931</v>
      </c>
      <c r="G48" s="76">
        <v>19334442</v>
      </c>
      <c r="H48" s="66">
        <v>6.0212186096625375E-2</v>
      </c>
      <c r="I48" s="66">
        <v>7.3410290299559713E-2</v>
      </c>
      <c r="J48" s="86"/>
      <c r="N48"/>
      <c r="O48"/>
      <c r="P48"/>
      <c r="Q48"/>
    </row>
    <row r="49" spans="1:17" ht="15" customHeight="1" x14ac:dyDescent="0.25">
      <c r="A49" s="76">
        <v>891409156</v>
      </c>
      <c r="B49" t="s">
        <v>153</v>
      </c>
      <c r="C49" t="s">
        <v>130</v>
      </c>
      <c r="D49" s="84">
        <v>2.3579201503050431</v>
      </c>
      <c r="E49" s="85">
        <v>19285975</v>
      </c>
      <c r="F49" s="66">
        <v>0.49234375401288372</v>
      </c>
      <c r="G49" s="76">
        <v>21901454</v>
      </c>
      <c r="H49" s="66">
        <v>8.240957619961406E-2</v>
      </c>
      <c r="I49" s="66">
        <v>0.16233342315994181</v>
      </c>
      <c r="J49" s="86">
        <v>3.6728622461523841</v>
      </c>
      <c r="N49"/>
      <c r="O49"/>
      <c r="P49"/>
      <c r="Q49"/>
    </row>
    <row r="50" spans="1:17" ht="15" customHeight="1" x14ac:dyDescent="0.25">
      <c r="A50" s="76">
        <v>891412809</v>
      </c>
      <c r="B50" t="s">
        <v>154</v>
      </c>
      <c r="C50" t="s">
        <v>130</v>
      </c>
      <c r="D50" s="84">
        <v>2.2752652188446447</v>
      </c>
      <c r="E50" s="85">
        <v>8072740</v>
      </c>
      <c r="F50" s="66">
        <v>0.42484416800376468</v>
      </c>
      <c r="G50" s="76">
        <v>8951470</v>
      </c>
      <c r="H50" s="66">
        <v>0.12109398391987024</v>
      </c>
      <c r="I50" s="66">
        <v>0.21054117368432224</v>
      </c>
      <c r="J50" s="86"/>
      <c r="N50"/>
      <c r="O50"/>
      <c r="P50"/>
      <c r="Q50"/>
    </row>
    <row r="51" spans="1:17" ht="15" customHeight="1" x14ac:dyDescent="0.25">
      <c r="A51" s="76">
        <v>900206408</v>
      </c>
      <c r="B51" t="s">
        <v>155</v>
      </c>
      <c r="C51" t="s">
        <v>130</v>
      </c>
      <c r="D51" s="84">
        <v>1.932392062170871</v>
      </c>
      <c r="E51" s="85">
        <v>7693469</v>
      </c>
      <c r="F51" s="66">
        <v>0.7082288564828797</v>
      </c>
      <c r="G51" s="76">
        <v>5341363</v>
      </c>
      <c r="H51" s="66">
        <v>8.6035064673362249E-2</v>
      </c>
      <c r="I51" s="66">
        <v>0.29487173966644842</v>
      </c>
      <c r="J51" s="86">
        <v>1.7618605494037145</v>
      </c>
      <c r="N51"/>
      <c r="O51"/>
      <c r="P51"/>
      <c r="Q51"/>
    </row>
    <row r="52" spans="1:17" ht="15" customHeight="1" x14ac:dyDescent="0.25">
      <c r="A52" s="76">
        <v>900424365</v>
      </c>
      <c r="B52" t="s">
        <v>156</v>
      </c>
      <c r="C52" t="s">
        <v>130</v>
      </c>
      <c r="D52" s="84">
        <v>2.7765717546403668</v>
      </c>
      <c r="E52" s="85">
        <v>10302249</v>
      </c>
      <c r="F52" s="66">
        <v>0.35398268740344085</v>
      </c>
      <c r="G52" s="76">
        <v>12868108</v>
      </c>
      <c r="H52" s="66">
        <v>3.9690823970394702E-2</v>
      </c>
      <c r="I52" s="66">
        <v>6.1439257426188838E-2</v>
      </c>
      <c r="J52" s="86">
        <v>0.4128787146874584</v>
      </c>
      <c r="N52"/>
      <c r="O52"/>
      <c r="P52"/>
      <c r="Q52"/>
    </row>
    <row r="53" spans="1:17" ht="15" customHeight="1" x14ac:dyDescent="0.25">
      <c r="A53" s="76">
        <v>900425697</v>
      </c>
      <c r="B53" t="s">
        <v>157</v>
      </c>
      <c r="C53" t="s">
        <v>130</v>
      </c>
      <c r="D53" s="84">
        <v>1.7415630838584222</v>
      </c>
      <c r="E53" s="85">
        <v>17816039</v>
      </c>
      <c r="F53" s="66">
        <v>0.61863160139911011</v>
      </c>
      <c r="G53" s="76">
        <v>17018323</v>
      </c>
      <c r="H53" s="66">
        <v>0.16928112771394893</v>
      </c>
      <c r="I53" s="66">
        <v>0.44387822466408705</v>
      </c>
      <c r="J53" s="86"/>
      <c r="N53"/>
      <c r="O53"/>
      <c r="P53"/>
      <c r="Q53"/>
    </row>
    <row r="54" spans="1:17" ht="15" customHeight="1" x14ac:dyDescent="0.25">
      <c r="A54" s="76">
        <v>900434009</v>
      </c>
      <c r="B54" t="s">
        <v>158</v>
      </c>
      <c r="C54" t="s">
        <v>130</v>
      </c>
      <c r="D54" s="84">
        <v>1.7395807034628132</v>
      </c>
      <c r="E54" s="85">
        <v>13287798</v>
      </c>
      <c r="F54" s="66">
        <v>0.5518095757921625</v>
      </c>
      <c r="G54" s="76">
        <v>16079480</v>
      </c>
      <c r="H54" s="66">
        <v>0.20619929281179933</v>
      </c>
      <c r="I54" s="66">
        <v>0.46007072368011903</v>
      </c>
      <c r="J54" s="86">
        <v>0.57625676893707445</v>
      </c>
      <c r="N54"/>
      <c r="O54"/>
      <c r="P54"/>
      <c r="Q54"/>
    </row>
    <row r="55" spans="1:17" ht="15" customHeight="1" x14ac:dyDescent="0.25">
      <c r="A55" s="76">
        <v>900631191</v>
      </c>
      <c r="B55" t="s">
        <v>159</v>
      </c>
      <c r="C55" t="s">
        <v>130</v>
      </c>
      <c r="D55" s="84">
        <v>12.752474310904553</v>
      </c>
      <c r="E55" s="85">
        <v>21119972</v>
      </c>
      <c r="F55" s="66">
        <v>0.3646385395282763</v>
      </c>
      <c r="G55" s="76">
        <v>14751147</v>
      </c>
      <c r="H55" s="66">
        <v>3.6794862302464794E-2</v>
      </c>
      <c r="I55" s="66">
        <v>5.7911700018988356E-2</v>
      </c>
      <c r="J55" s="86">
        <v>0.57713443346831672</v>
      </c>
      <c r="N55"/>
      <c r="O55"/>
      <c r="P55"/>
      <c r="Q55"/>
    </row>
    <row r="56" spans="1:17" ht="15" customHeight="1" x14ac:dyDescent="0.25">
      <c r="A56" s="76">
        <v>900822541</v>
      </c>
      <c r="B56" t="s">
        <v>160</v>
      </c>
      <c r="C56" t="s">
        <v>130</v>
      </c>
      <c r="D56" s="84">
        <v>2.2883434932155668</v>
      </c>
      <c r="E56" s="85">
        <v>16884977</v>
      </c>
      <c r="F56" s="66">
        <v>0.4343587055960571</v>
      </c>
      <c r="G56" s="76">
        <v>18071590</v>
      </c>
      <c r="H56" s="66">
        <v>0.21531249385736928</v>
      </c>
      <c r="I56" s="66">
        <v>0.38065200682397066</v>
      </c>
      <c r="J56" s="86">
        <v>1.0719407790167859</v>
      </c>
      <c r="N56"/>
      <c r="O56"/>
      <c r="P56"/>
      <c r="Q56"/>
    </row>
    <row r="57" spans="1:17" ht="15" customHeight="1" x14ac:dyDescent="0.25">
      <c r="A57" s="76">
        <v>901196744</v>
      </c>
      <c r="B57" t="s">
        <v>161</v>
      </c>
      <c r="C57" t="s">
        <v>130</v>
      </c>
      <c r="D57" s="84">
        <v>1.099240975876514</v>
      </c>
      <c r="E57" s="85">
        <v>8327583</v>
      </c>
      <c r="F57" s="66">
        <v>0.90931143755067978</v>
      </c>
      <c r="G57" s="76">
        <v>8368889</v>
      </c>
      <c r="H57" s="66">
        <v>4.2953984442213565E-2</v>
      </c>
      <c r="I57" s="66">
        <v>0.47364279774770585</v>
      </c>
      <c r="J57" s="86"/>
      <c r="N57"/>
      <c r="O57"/>
      <c r="P57"/>
      <c r="Q57"/>
    </row>
    <row r="58" spans="1:17" ht="15" customHeight="1" x14ac:dyDescent="0.25">
      <c r="A58" s="76">
        <v>800015583</v>
      </c>
      <c r="B58" t="s">
        <v>90</v>
      </c>
      <c r="C58" t="s">
        <v>91</v>
      </c>
      <c r="D58" s="84">
        <v>1.5550098971508577</v>
      </c>
      <c r="E58" s="85">
        <v>40546172</v>
      </c>
      <c r="F58" s="66">
        <v>0.55818092594640589</v>
      </c>
      <c r="G58" s="76">
        <v>57964225</v>
      </c>
      <c r="H58" s="66">
        <v>0.13201780748661512</v>
      </c>
      <c r="I58" s="66">
        <v>0.29880513368375061</v>
      </c>
      <c r="J58" s="86">
        <v>11.328811404157122</v>
      </c>
      <c r="N58"/>
      <c r="O58"/>
      <c r="P58"/>
      <c r="Q58"/>
    </row>
    <row r="59" spans="1:17" ht="15" customHeight="1" x14ac:dyDescent="0.25">
      <c r="A59" s="76">
        <v>800027927</v>
      </c>
      <c r="B59" t="s">
        <v>116</v>
      </c>
      <c r="C59" t="s">
        <v>91</v>
      </c>
      <c r="D59" s="84">
        <v>1.3284841188555867</v>
      </c>
      <c r="E59" s="85">
        <v>9953665</v>
      </c>
      <c r="F59" s="66">
        <v>0.74958448131085598</v>
      </c>
      <c r="G59" s="76">
        <v>10142427</v>
      </c>
      <c r="H59" s="66">
        <v>0.30739388465717704</v>
      </c>
      <c r="I59" s="66">
        <v>1.2275352832216588</v>
      </c>
      <c r="J59" s="86"/>
      <c r="N59"/>
      <c r="O59"/>
      <c r="P59"/>
      <c r="Q59"/>
    </row>
    <row r="60" spans="1:17" ht="15" customHeight="1" x14ac:dyDescent="0.25">
      <c r="A60" s="76">
        <v>800083486</v>
      </c>
      <c r="B60" t="s">
        <v>92</v>
      </c>
      <c r="C60" t="s">
        <v>91</v>
      </c>
      <c r="D60" s="84">
        <v>3.3058583321750552</v>
      </c>
      <c r="E60" s="85">
        <v>16838542</v>
      </c>
      <c r="F60" s="66">
        <v>0.32976448577217005</v>
      </c>
      <c r="G60" s="76">
        <v>26979775</v>
      </c>
      <c r="H60" s="66">
        <v>6.3239409401823224E-2</v>
      </c>
      <c r="I60" s="66">
        <v>9.4354011477115723E-2</v>
      </c>
      <c r="J60" s="86">
        <v>3.1658887657678831</v>
      </c>
      <c r="N60"/>
      <c r="O60"/>
      <c r="P60"/>
      <c r="Q60"/>
    </row>
    <row r="61" spans="1:17" ht="15" customHeight="1" x14ac:dyDescent="0.25">
      <c r="A61" s="76">
        <v>800188299</v>
      </c>
      <c r="B61" t="s">
        <v>93</v>
      </c>
      <c r="C61" t="s">
        <v>91</v>
      </c>
      <c r="D61" s="84">
        <v>1.5227606414394068</v>
      </c>
      <c r="E61" s="85">
        <v>12001371</v>
      </c>
      <c r="F61" s="66">
        <v>0.58770667513141128</v>
      </c>
      <c r="G61" s="76">
        <v>23200175</v>
      </c>
      <c r="H61" s="66">
        <v>0.11378252067910881</v>
      </c>
      <c r="I61" s="66">
        <v>0.2759746855357772</v>
      </c>
      <c r="J61" s="86">
        <v>3.6122144786214747</v>
      </c>
      <c r="N61"/>
      <c r="O61"/>
      <c r="P61"/>
      <c r="Q61"/>
    </row>
    <row r="62" spans="1:17" ht="15" customHeight="1" x14ac:dyDescent="0.25">
      <c r="A62" s="76">
        <v>802021201</v>
      </c>
      <c r="B62" t="s">
        <v>117</v>
      </c>
      <c r="C62" t="s">
        <v>91</v>
      </c>
      <c r="D62" s="84">
        <v>1.4433828230604477</v>
      </c>
      <c r="E62" s="85">
        <v>7991626</v>
      </c>
      <c r="F62" s="66">
        <v>0.67663078621102446</v>
      </c>
      <c r="G62" s="76">
        <v>8613967</v>
      </c>
      <c r="H62" s="66">
        <v>0.15403170013986317</v>
      </c>
      <c r="I62" s="66">
        <v>0.47633384246770388</v>
      </c>
      <c r="J62" s="86">
        <v>5.1910220678190395</v>
      </c>
      <c r="N62"/>
      <c r="O62"/>
      <c r="P62"/>
      <c r="Q62"/>
    </row>
    <row r="63" spans="1:17" ht="15" customHeight="1" x14ac:dyDescent="0.25">
      <c r="A63" s="76">
        <v>804000673</v>
      </c>
      <c r="B63" t="s">
        <v>94</v>
      </c>
      <c r="C63" t="s">
        <v>91</v>
      </c>
      <c r="D63" s="84">
        <v>20.164253879536783</v>
      </c>
      <c r="E63" s="85">
        <v>12439728</v>
      </c>
      <c r="F63" s="66">
        <v>0.38661220791243683</v>
      </c>
      <c r="G63" s="76">
        <v>8629375</v>
      </c>
      <c r="H63" s="66">
        <v>0.17632323655652277</v>
      </c>
      <c r="I63" s="66">
        <v>0.28745801405084376</v>
      </c>
      <c r="J63" s="86">
        <v>15.624932286876883</v>
      </c>
      <c r="N63"/>
      <c r="O63"/>
      <c r="P63"/>
      <c r="Q63"/>
    </row>
    <row r="64" spans="1:17" ht="15" customHeight="1" x14ac:dyDescent="0.25">
      <c r="A64" s="76">
        <v>806009752</v>
      </c>
      <c r="B64" t="s">
        <v>95</v>
      </c>
      <c r="C64" t="s">
        <v>91</v>
      </c>
      <c r="D64" s="84">
        <v>174.14204999586582</v>
      </c>
      <c r="E64" s="85">
        <v>6282113</v>
      </c>
      <c r="F64" s="66">
        <v>3.0188860430536361E-2</v>
      </c>
      <c r="G64" s="76">
        <v>10987967</v>
      </c>
      <c r="H64" s="66">
        <v>2.3229553167972448E-2</v>
      </c>
      <c r="I64" s="66">
        <v>2.3952656574232522E-2</v>
      </c>
      <c r="J64" s="86">
        <v>42.608224056985591</v>
      </c>
      <c r="N64"/>
      <c r="O64"/>
      <c r="P64"/>
      <c r="Q64"/>
    </row>
    <row r="65" spans="1:17" ht="15" customHeight="1" x14ac:dyDescent="0.25">
      <c r="A65" s="76">
        <v>806015647</v>
      </c>
      <c r="B65" t="s">
        <v>96</v>
      </c>
      <c r="C65" t="s">
        <v>91</v>
      </c>
      <c r="D65" s="84">
        <v>2.6720022438506019</v>
      </c>
      <c r="E65" s="85">
        <v>9704816</v>
      </c>
      <c r="F65" s="66">
        <v>0.46607316759259587</v>
      </c>
      <c r="G65" s="76">
        <v>10367103</v>
      </c>
      <c r="H65" s="66">
        <v>0.11829959255200327</v>
      </c>
      <c r="I65" s="66">
        <v>0.22156517592233818</v>
      </c>
      <c r="J65" s="86">
        <v>6.2993854161810239</v>
      </c>
      <c r="N65"/>
      <c r="O65"/>
      <c r="P65"/>
      <c r="Q65"/>
    </row>
    <row r="66" spans="1:17" ht="15" customHeight="1" x14ac:dyDescent="0.25">
      <c r="A66" s="76">
        <v>811004721</v>
      </c>
      <c r="B66" t="s">
        <v>97</v>
      </c>
      <c r="C66" t="s">
        <v>91</v>
      </c>
      <c r="D66" s="84">
        <v>14.051575948355328</v>
      </c>
      <c r="E66" s="85">
        <v>8735981</v>
      </c>
      <c r="F66" s="66">
        <v>7.7564866311467223E-2</v>
      </c>
      <c r="G66" s="76">
        <v>12041364</v>
      </c>
      <c r="H66" s="66">
        <v>0.15965711975291344</v>
      </c>
      <c r="I66" s="66">
        <v>0.17308221892469988</v>
      </c>
      <c r="J66" s="86">
        <v>1.1265221713112632</v>
      </c>
      <c r="N66"/>
      <c r="O66"/>
      <c r="P66"/>
      <c r="Q66"/>
    </row>
    <row r="67" spans="1:17" ht="15" customHeight="1" x14ac:dyDescent="0.25">
      <c r="A67" s="76">
        <v>811026190</v>
      </c>
      <c r="B67" t="s">
        <v>98</v>
      </c>
      <c r="C67" t="s">
        <v>91</v>
      </c>
      <c r="D67" s="84">
        <v>8.8834893871394289</v>
      </c>
      <c r="E67" s="85">
        <v>6778642</v>
      </c>
      <c r="F67" s="66">
        <v>0.29181562195790256</v>
      </c>
      <c r="G67" s="76">
        <v>7680045</v>
      </c>
      <c r="H67" s="66">
        <v>4.1849117591759362E-2</v>
      </c>
      <c r="I67" s="66">
        <v>5.9093533957157801E-2</v>
      </c>
      <c r="J67" s="86">
        <v>1.4820798186918513</v>
      </c>
      <c r="N67"/>
      <c r="O67"/>
      <c r="P67"/>
      <c r="Q67"/>
    </row>
    <row r="68" spans="1:17" ht="15" customHeight="1" x14ac:dyDescent="0.25">
      <c r="A68" s="76">
        <v>830036992</v>
      </c>
      <c r="B68" t="s">
        <v>99</v>
      </c>
      <c r="C68" t="s">
        <v>91</v>
      </c>
      <c r="D68" s="84">
        <v>1.569934244531394</v>
      </c>
      <c r="E68" s="85">
        <v>4643256</v>
      </c>
      <c r="F68" s="66">
        <v>0.61787389147752891</v>
      </c>
      <c r="G68" s="76">
        <v>5084570</v>
      </c>
      <c r="H68" s="66">
        <v>0.24489801593266194</v>
      </c>
      <c r="I68" s="66">
        <v>0.64088270984567031</v>
      </c>
      <c r="J68" s="86">
        <v>10.517015123837311</v>
      </c>
      <c r="N68"/>
      <c r="O68"/>
      <c r="P68"/>
      <c r="Q68"/>
    </row>
    <row r="69" spans="1:17" ht="15" customHeight="1" x14ac:dyDescent="0.25">
      <c r="A69" s="76">
        <v>830037278</v>
      </c>
      <c r="B69" t="s">
        <v>100</v>
      </c>
      <c r="C69" t="s">
        <v>91</v>
      </c>
      <c r="D69" s="84">
        <v>5.5425619439410259</v>
      </c>
      <c r="E69" s="85">
        <v>58454264</v>
      </c>
      <c r="F69" s="66">
        <v>0.67414976059961595</v>
      </c>
      <c r="G69" s="76">
        <v>26317741</v>
      </c>
      <c r="H69" s="66">
        <v>0.24905388220369443</v>
      </c>
      <c r="I69" s="66">
        <v>0.76432008355124403</v>
      </c>
      <c r="J69" s="86">
        <v>1.5505950485925901</v>
      </c>
      <c r="N69"/>
      <c r="O69"/>
      <c r="P69"/>
      <c r="Q69"/>
    </row>
    <row r="70" spans="1:17" ht="15" customHeight="1" x14ac:dyDescent="0.25">
      <c r="A70" s="76">
        <v>830067557</v>
      </c>
      <c r="B70" t="s">
        <v>101</v>
      </c>
      <c r="C70" t="s">
        <v>91</v>
      </c>
      <c r="D70" s="84">
        <v>1.717730040188276</v>
      </c>
      <c r="E70" s="85">
        <v>6417164</v>
      </c>
      <c r="F70" s="66">
        <v>0.61311837939710156</v>
      </c>
      <c r="G70" s="76">
        <v>6250827</v>
      </c>
      <c r="H70" s="66">
        <v>0.23231971380737082</v>
      </c>
      <c r="I70" s="66">
        <v>0.60049302276322802</v>
      </c>
      <c r="J70" s="86">
        <v>7.5267556717692869</v>
      </c>
      <c r="N70"/>
      <c r="O70"/>
      <c r="P70"/>
      <c r="Q70"/>
    </row>
    <row r="71" spans="1:17" ht="15" customHeight="1" x14ac:dyDescent="0.25">
      <c r="A71" s="76">
        <v>830105984</v>
      </c>
      <c r="B71" t="s">
        <v>102</v>
      </c>
      <c r="C71" t="s">
        <v>91</v>
      </c>
      <c r="D71" s="84">
        <v>1.7346846679099497</v>
      </c>
      <c r="E71" s="85">
        <v>7023318</v>
      </c>
      <c r="F71" s="66">
        <v>0.56508124897476264</v>
      </c>
      <c r="G71" s="76">
        <v>8667197</v>
      </c>
      <c r="H71" s="66">
        <v>0.2458445428872981</v>
      </c>
      <c r="I71" s="66">
        <v>0.56526544856428207</v>
      </c>
      <c r="J71" s="86">
        <v>11.51005636072745</v>
      </c>
      <c r="N71"/>
      <c r="O71"/>
      <c r="P71"/>
      <c r="Q71"/>
    </row>
    <row r="72" spans="1:17" ht="15" customHeight="1" x14ac:dyDescent="0.25">
      <c r="A72" s="76">
        <v>830122983</v>
      </c>
      <c r="B72" t="s">
        <v>118</v>
      </c>
      <c r="C72" t="s">
        <v>91</v>
      </c>
      <c r="D72" s="84">
        <v>1.1870529429507133</v>
      </c>
      <c r="E72" s="85">
        <v>12776502</v>
      </c>
      <c r="F72" s="66">
        <v>0.85511671568665049</v>
      </c>
      <c r="G72" s="76">
        <v>13069844</v>
      </c>
      <c r="H72" s="66">
        <v>0.20236005604201102</v>
      </c>
      <c r="I72" s="66">
        <v>1.3967108559214632</v>
      </c>
      <c r="J72" s="86">
        <v>11.776928699581367</v>
      </c>
      <c r="N72"/>
      <c r="O72"/>
      <c r="P72"/>
      <c r="Q72"/>
    </row>
    <row r="73" spans="1:17" ht="15" customHeight="1" x14ac:dyDescent="0.25">
      <c r="A73" s="76">
        <v>830132614</v>
      </c>
      <c r="B73" t="s">
        <v>103</v>
      </c>
      <c r="C73" t="s">
        <v>91</v>
      </c>
      <c r="D73" s="84">
        <v>12.723470029819714</v>
      </c>
      <c r="E73" s="85">
        <v>4285280</v>
      </c>
      <c r="F73" s="66">
        <v>4.0791583435599306E-2</v>
      </c>
      <c r="G73" s="76">
        <v>10708315</v>
      </c>
      <c r="H73" s="66">
        <v>2.9100298288201942E-2</v>
      </c>
      <c r="I73" s="66">
        <v>3.0337826259313441E-2</v>
      </c>
      <c r="J73" s="86"/>
      <c r="N73"/>
      <c r="O73"/>
      <c r="P73"/>
      <c r="Q73"/>
    </row>
    <row r="74" spans="1:17" ht="15" customHeight="1" x14ac:dyDescent="0.25">
      <c r="A74" s="76">
        <v>830136779</v>
      </c>
      <c r="B74" t="s">
        <v>115</v>
      </c>
      <c r="C74" t="s">
        <v>91</v>
      </c>
      <c r="D74" s="84">
        <v>1.8167481430002514</v>
      </c>
      <c r="E74" s="85">
        <v>5761000</v>
      </c>
      <c r="F74" s="66">
        <v>0.51082311931523516</v>
      </c>
      <c r="G74" s="76">
        <v>6949869</v>
      </c>
      <c r="H74" s="66">
        <v>2.6213899473452752E-2</v>
      </c>
      <c r="I74" s="66">
        <v>5.35877726616142E-2</v>
      </c>
      <c r="J74" s="86">
        <v>0.50085935839952234</v>
      </c>
      <c r="N74"/>
      <c r="O74"/>
      <c r="P74"/>
      <c r="Q74"/>
    </row>
    <row r="75" spans="1:17" ht="15" customHeight="1" x14ac:dyDescent="0.25">
      <c r="A75" s="76">
        <v>830500329</v>
      </c>
      <c r="B75" t="s">
        <v>104</v>
      </c>
      <c r="C75" t="s">
        <v>91</v>
      </c>
      <c r="D75" s="84">
        <v>2.5315540494575282</v>
      </c>
      <c r="E75" s="85">
        <v>4097437</v>
      </c>
      <c r="F75" s="66">
        <v>0.31031676170024169</v>
      </c>
      <c r="G75" s="76">
        <v>5945993</v>
      </c>
      <c r="H75" s="66">
        <v>0.24964602366291361</v>
      </c>
      <c r="I75" s="66">
        <v>0.36197200366700732</v>
      </c>
      <c r="J75" s="86"/>
      <c r="N75"/>
      <c r="O75"/>
      <c r="P75"/>
      <c r="Q75"/>
    </row>
    <row r="76" spans="1:17" ht="15" customHeight="1" x14ac:dyDescent="0.25">
      <c r="A76" s="76">
        <v>830505521</v>
      </c>
      <c r="B76" t="s">
        <v>105</v>
      </c>
      <c r="C76" t="s">
        <v>91</v>
      </c>
      <c r="D76" s="84">
        <v>1.8008905356923091</v>
      </c>
      <c r="E76" s="85">
        <v>10282105</v>
      </c>
      <c r="F76" s="66">
        <v>0.55031131913381115</v>
      </c>
      <c r="G76" s="76">
        <v>11426995</v>
      </c>
      <c r="H76" s="66">
        <v>0.19279937406393524</v>
      </c>
      <c r="I76" s="66">
        <v>0.42873966427744126</v>
      </c>
      <c r="J76" s="86"/>
      <c r="N76"/>
      <c r="O76"/>
      <c r="P76"/>
      <c r="Q76"/>
    </row>
    <row r="77" spans="1:17" ht="15" customHeight="1" x14ac:dyDescent="0.25">
      <c r="A77" s="76">
        <v>860034714</v>
      </c>
      <c r="B77" t="s">
        <v>106</v>
      </c>
      <c r="C77" t="s">
        <v>91</v>
      </c>
      <c r="D77" s="84">
        <v>3.4115674501536377</v>
      </c>
      <c r="E77" s="85">
        <v>6110637</v>
      </c>
      <c r="F77" s="66">
        <v>0.6418954341896248</v>
      </c>
      <c r="G77" s="76">
        <v>5370270</v>
      </c>
      <c r="H77" s="66">
        <v>7.2836273621876862E-2</v>
      </c>
      <c r="I77" s="66">
        <v>0.20339387032681783</v>
      </c>
      <c r="J77" s="86"/>
      <c r="N77"/>
      <c r="O77"/>
      <c r="P77"/>
      <c r="Q77"/>
    </row>
    <row r="78" spans="1:17" ht="15" customHeight="1" x14ac:dyDescent="0.25">
      <c r="A78" s="76">
        <v>890900943</v>
      </c>
      <c r="B78" t="s">
        <v>119</v>
      </c>
      <c r="C78" t="s">
        <v>91</v>
      </c>
      <c r="D78" s="84">
        <v>1.1492998315245901</v>
      </c>
      <c r="E78" s="85">
        <v>551557387</v>
      </c>
      <c r="F78" s="66">
        <v>0.6450158153321951</v>
      </c>
      <c r="G78" s="76">
        <v>2179066003</v>
      </c>
      <c r="H78" s="66">
        <v>0.1082582261626294</v>
      </c>
      <c r="I78" s="66">
        <v>0.30496633607476825</v>
      </c>
      <c r="J78" s="86">
        <v>3.7976025484957221</v>
      </c>
      <c r="N78"/>
      <c r="O78"/>
      <c r="P78"/>
      <c r="Q78"/>
    </row>
    <row r="79" spans="1:17" ht="15" customHeight="1" x14ac:dyDescent="0.25">
      <c r="A79" s="76">
        <v>900040754</v>
      </c>
      <c r="B79" t="s">
        <v>107</v>
      </c>
      <c r="C79" t="s">
        <v>91</v>
      </c>
      <c r="D79" s="84">
        <v>1.8064799895329524</v>
      </c>
      <c r="E79" s="85">
        <v>9091832</v>
      </c>
      <c r="F79" s="66">
        <v>0.53568928802466276</v>
      </c>
      <c r="G79" s="76">
        <v>9771327</v>
      </c>
      <c r="H79" s="66">
        <v>0.2030271893268466</v>
      </c>
      <c r="I79" s="66">
        <v>0.43726578795285431</v>
      </c>
      <c r="J79" s="86">
        <v>1.3489368204473464</v>
      </c>
      <c r="N79"/>
      <c r="O79"/>
      <c r="P79"/>
      <c r="Q79"/>
    </row>
    <row r="80" spans="1:17" ht="15" customHeight="1" x14ac:dyDescent="0.25">
      <c r="A80" s="76">
        <v>900064857</v>
      </c>
      <c r="B80" t="s">
        <v>108</v>
      </c>
      <c r="C80" t="s">
        <v>91</v>
      </c>
      <c r="D80" s="84">
        <v>3.3880334960312308</v>
      </c>
      <c r="E80" s="85">
        <v>10865913</v>
      </c>
      <c r="F80" s="66">
        <v>0.27677874779595624</v>
      </c>
      <c r="G80" s="76">
        <v>11889518</v>
      </c>
      <c r="H80" s="66">
        <v>0.33796957834126706</v>
      </c>
      <c r="I80" s="66">
        <v>0.46731145871514723</v>
      </c>
      <c r="J80" s="86">
        <v>169.30578663497579</v>
      </c>
      <c r="N80"/>
      <c r="O80"/>
      <c r="P80"/>
      <c r="Q80"/>
    </row>
    <row r="81" spans="1:17" ht="15" customHeight="1" x14ac:dyDescent="0.25">
      <c r="A81" s="76">
        <v>900234286</v>
      </c>
      <c r="B81" t="s">
        <v>109</v>
      </c>
      <c r="C81" t="s">
        <v>91</v>
      </c>
      <c r="D81" s="84">
        <v>5.5897900515749166</v>
      </c>
      <c r="E81" s="85">
        <v>18554084</v>
      </c>
      <c r="F81" s="66">
        <v>0.21703244608914213</v>
      </c>
      <c r="G81" s="76">
        <v>17754970</v>
      </c>
      <c r="H81" s="66">
        <v>0.53333595278426471</v>
      </c>
      <c r="I81" s="66">
        <v>0.68117248297237332</v>
      </c>
      <c r="J81" s="86">
        <v>263.33522764386964</v>
      </c>
      <c r="N81"/>
      <c r="O81"/>
      <c r="P81"/>
      <c r="Q81"/>
    </row>
    <row r="82" spans="1:17" ht="15" customHeight="1" x14ac:dyDescent="0.25">
      <c r="A82" s="76">
        <v>900343143</v>
      </c>
      <c r="B82" t="s">
        <v>114</v>
      </c>
      <c r="C82" t="s">
        <v>91</v>
      </c>
      <c r="D82" s="84">
        <v>2.5595314411509325</v>
      </c>
      <c r="E82" s="85">
        <v>2415722</v>
      </c>
      <c r="F82" s="66">
        <v>0.19741807169417341</v>
      </c>
      <c r="G82" s="76">
        <v>10677558</v>
      </c>
      <c r="H82" s="66">
        <v>6.9182224006145515E-2</v>
      </c>
      <c r="I82" s="66">
        <v>8.6199578592783113E-2</v>
      </c>
      <c r="J82" s="86">
        <v>8.5888747877045972</v>
      </c>
      <c r="N82"/>
      <c r="O82"/>
      <c r="P82"/>
      <c r="Q82"/>
    </row>
    <row r="83" spans="1:17" ht="15" customHeight="1" x14ac:dyDescent="0.25">
      <c r="A83" s="76">
        <v>900418144</v>
      </c>
      <c r="B83" t="s">
        <v>110</v>
      </c>
      <c r="C83" t="s">
        <v>91</v>
      </c>
      <c r="D83" s="84">
        <v>2.0145636239414615</v>
      </c>
      <c r="E83" s="85">
        <v>10323542</v>
      </c>
      <c r="F83" s="66">
        <v>0.7748005738045961</v>
      </c>
      <c r="G83" s="76">
        <v>5618716</v>
      </c>
      <c r="H83" s="66">
        <v>7.5990110924840468E-2</v>
      </c>
      <c r="I83" s="66">
        <v>0.33743474487765535</v>
      </c>
      <c r="J83" s="86">
        <v>3.6671721411356928</v>
      </c>
      <c r="N83"/>
      <c r="O83"/>
      <c r="P83"/>
      <c r="Q83"/>
    </row>
    <row r="84" spans="1:17" ht="15" customHeight="1" x14ac:dyDescent="0.25">
      <c r="A84" s="76">
        <v>900607320</v>
      </c>
      <c r="B84" t="s">
        <v>111</v>
      </c>
      <c r="C84" t="s">
        <v>91</v>
      </c>
      <c r="D84" s="84">
        <v>3.1625071744200772</v>
      </c>
      <c r="E84" s="85">
        <v>7870806</v>
      </c>
      <c r="F84" s="66">
        <v>0.69228817352881045</v>
      </c>
      <c r="G84" s="76">
        <v>7804844</v>
      </c>
      <c r="H84" s="66">
        <v>0.10246740535277096</v>
      </c>
      <c r="I84" s="66">
        <v>0.33299794332852778</v>
      </c>
      <c r="J84" s="86">
        <v>1.8759469970377471</v>
      </c>
      <c r="N84"/>
      <c r="O84"/>
      <c r="P84"/>
      <c r="Q84"/>
    </row>
    <row r="85" spans="1:17" ht="15" customHeight="1" x14ac:dyDescent="0.25">
      <c r="A85" s="76">
        <v>900623074</v>
      </c>
      <c r="B85" t="s">
        <v>112</v>
      </c>
      <c r="C85" t="s">
        <v>91</v>
      </c>
      <c r="D85" s="84">
        <v>3.1727215905035364</v>
      </c>
      <c r="E85" s="85">
        <v>21033920</v>
      </c>
      <c r="F85" s="66">
        <v>0.74099449157844621</v>
      </c>
      <c r="G85" s="76">
        <v>8892030</v>
      </c>
      <c r="H85" s="66">
        <v>0.18110625271908262</v>
      </c>
      <c r="I85" s="66">
        <v>0.69923706960052989</v>
      </c>
      <c r="J85" s="86">
        <v>4.8974662127568402</v>
      </c>
      <c r="N85"/>
      <c r="O85"/>
      <c r="P85"/>
      <c r="Q85"/>
    </row>
    <row r="86" spans="1:17" ht="15" customHeight="1" x14ac:dyDescent="0.25">
      <c r="A86" s="76">
        <v>900931389</v>
      </c>
      <c r="B86" t="s">
        <v>113</v>
      </c>
      <c r="C86" t="s">
        <v>91</v>
      </c>
      <c r="D86" s="84">
        <v>2.5404167365918164</v>
      </c>
      <c r="E86" s="85">
        <v>5342156</v>
      </c>
      <c r="F86" s="66">
        <v>0.34446490922342909</v>
      </c>
      <c r="G86" s="76">
        <v>7111539</v>
      </c>
      <c r="H86" s="66">
        <v>0.22343046457608826</v>
      </c>
      <c r="I86" s="66">
        <v>0.34083677246233202</v>
      </c>
      <c r="J86" s="86">
        <v>97.748679275718843</v>
      </c>
      <c r="N86"/>
      <c r="O86"/>
      <c r="P86"/>
      <c r="Q86"/>
    </row>
    <row r="87" spans="1:17" ht="15" customHeight="1" x14ac:dyDescent="0.25">
      <c r="A87" s="76">
        <v>800132211</v>
      </c>
      <c r="B87" t="s">
        <v>162</v>
      </c>
      <c r="C87" t="s">
        <v>163</v>
      </c>
      <c r="D87" s="84">
        <v>2.3651740802942394</v>
      </c>
      <c r="E87" s="85">
        <v>19825144</v>
      </c>
      <c r="F87" s="66">
        <v>0.62130439295850681</v>
      </c>
      <c r="G87" s="76">
        <v>24344168</v>
      </c>
      <c r="H87" s="66">
        <v>0.23793034696532184</v>
      </c>
      <c r="I87" s="66">
        <v>0.62828916560220915</v>
      </c>
      <c r="J87" s="86">
        <v>7.6661981961210843</v>
      </c>
      <c r="N87"/>
      <c r="O87"/>
      <c r="P87"/>
      <c r="Q87"/>
    </row>
    <row r="88" spans="1:17" ht="15" customHeight="1" x14ac:dyDescent="0.25">
      <c r="A88" s="76">
        <v>819006966</v>
      </c>
      <c r="B88" t="s">
        <v>164</v>
      </c>
      <c r="C88" t="s">
        <v>163</v>
      </c>
      <c r="D88" s="84">
        <v>1.158524255972293</v>
      </c>
      <c r="E88" s="85">
        <v>10815133</v>
      </c>
      <c r="F88" s="66">
        <v>0.68982155012176938</v>
      </c>
      <c r="G88" s="76">
        <v>90996755</v>
      </c>
      <c r="H88" s="66">
        <v>7.5208487488572548E-2</v>
      </c>
      <c r="I88" s="66">
        <v>0.24246844846280508</v>
      </c>
      <c r="J88" s="86">
        <v>3.2414745406384564</v>
      </c>
      <c r="N88"/>
      <c r="O88"/>
      <c r="P88"/>
      <c r="Q88"/>
    </row>
    <row r="89" spans="1:17" ht="15" customHeight="1" x14ac:dyDescent="0.25">
      <c r="A89" s="76">
        <v>830078515</v>
      </c>
      <c r="B89" t="s">
        <v>165</v>
      </c>
      <c r="C89" t="s">
        <v>163</v>
      </c>
      <c r="D89" s="84">
        <v>1.073878954385965</v>
      </c>
      <c r="E89" s="85">
        <v>24332846</v>
      </c>
      <c r="F89" s="66">
        <v>0.74664216622337232</v>
      </c>
      <c r="G89" s="76">
        <v>262855203</v>
      </c>
      <c r="H89" s="66">
        <v>3.2318561718602097E-2</v>
      </c>
      <c r="I89" s="66">
        <v>0.12756093323364803</v>
      </c>
      <c r="J89" s="86">
        <v>0.22161841016871109</v>
      </c>
      <c r="N89"/>
      <c r="O89"/>
      <c r="P89"/>
      <c r="Q89"/>
    </row>
    <row r="90" spans="1:17" ht="15" customHeight="1" x14ac:dyDescent="0.25">
      <c r="A90" s="76">
        <v>900046908</v>
      </c>
      <c r="B90" t="s">
        <v>166</v>
      </c>
      <c r="C90" t="s">
        <v>163</v>
      </c>
      <c r="D90" s="84">
        <v>2.3913628562158267</v>
      </c>
      <c r="E90" s="85">
        <v>9944414</v>
      </c>
      <c r="F90" s="66">
        <v>5.4716275865963275E-2</v>
      </c>
      <c r="G90" s="76">
        <v>123476537</v>
      </c>
      <c r="H90" s="66">
        <v>9.4991644094462924E-2</v>
      </c>
      <c r="I90" s="66">
        <v>0.10049008744066089</v>
      </c>
      <c r="J90" s="86">
        <v>10.159229520316956</v>
      </c>
      <c r="N90"/>
      <c r="O90"/>
      <c r="P90"/>
      <c r="Q90"/>
    </row>
    <row r="91" spans="1:17" ht="15" customHeight="1" x14ac:dyDescent="0.25">
      <c r="A91" s="76">
        <v>900111343</v>
      </c>
      <c r="B91" t="s">
        <v>167</v>
      </c>
      <c r="C91" t="s">
        <v>163</v>
      </c>
      <c r="D91" s="84">
        <v>3.2125413317819635</v>
      </c>
      <c r="E91" s="85">
        <v>35825779</v>
      </c>
      <c r="F91" s="66">
        <v>0.26083545437748556</v>
      </c>
      <c r="G91" s="76">
        <v>47662517</v>
      </c>
      <c r="H91" s="66">
        <v>0.19377327543609879</v>
      </c>
      <c r="I91" s="66">
        <v>0.26215174494456511</v>
      </c>
      <c r="J91" s="86">
        <v>6.9686703498832685</v>
      </c>
      <c r="N91"/>
      <c r="O91"/>
      <c r="P91"/>
      <c r="Q91"/>
    </row>
    <row r="92" spans="1:17" ht="15" customHeight="1" x14ac:dyDescent="0.25">
      <c r="A92" s="76">
        <v>900134570</v>
      </c>
      <c r="B92" t="s">
        <v>168</v>
      </c>
      <c r="C92" t="s">
        <v>163</v>
      </c>
      <c r="D92" s="84">
        <v>2.6670789105128123</v>
      </c>
      <c r="E92" s="85">
        <v>104372088</v>
      </c>
      <c r="F92" s="66">
        <v>0.6963463476770293</v>
      </c>
      <c r="G92" s="76">
        <v>64746291</v>
      </c>
      <c r="H92" s="66">
        <v>3.192595255170607E-2</v>
      </c>
      <c r="I92" s="66">
        <v>0.10513936620709285</v>
      </c>
      <c r="J92" s="86">
        <v>0.46648596694475164</v>
      </c>
      <c r="N92"/>
      <c r="O92"/>
      <c r="P92"/>
      <c r="Q92"/>
    </row>
    <row r="93" spans="1:17" ht="15" customHeight="1" x14ac:dyDescent="0.25">
      <c r="A93" s="76">
        <v>900258177</v>
      </c>
      <c r="B93" t="s">
        <v>169</v>
      </c>
      <c r="C93" t="s">
        <v>163</v>
      </c>
      <c r="D93" s="84">
        <v>2.0444811070636679</v>
      </c>
      <c r="E93" s="85">
        <v>24685396</v>
      </c>
      <c r="F93" s="66">
        <v>0.81615666164410494</v>
      </c>
      <c r="G93" s="76">
        <v>23445274</v>
      </c>
      <c r="H93" s="66">
        <v>1.3415945110580261E-2</v>
      </c>
      <c r="I93" s="66">
        <v>7.2974877580871955E-2</v>
      </c>
      <c r="J93" s="86">
        <v>3.9871701433498823E-2</v>
      </c>
      <c r="N93"/>
      <c r="O93"/>
      <c r="P93"/>
      <c r="Q93"/>
    </row>
    <row r="94" spans="1:17" ht="15" customHeight="1" x14ac:dyDescent="0.25">
      <c r="A94" s="76">
        <v>900994724</v>
      </c>
      <c r="B94" t="s">
        <v>170</v>
      </c>
      <c r="C94" t="s">
        <v>163</v>
      </c>
      <c r="D94" s="84">
        <v>1.7897330459826619</v>
      </c>
      <c r="E94" s="85">
        <v>21325903</v>
      </c>
      <c r="F94" s="66">
        <v>0.55478605855068819</v>
      </c>
      <c r="G94" s="76">
        <v>21670570</v>
      </c>
      <c r="H94" s="66">
        <v>0.21769871371481117</v>
      </c>
      <c r="I94" s="66">
        <v>0.48897550918134597</v>
      </c>
      <c r="J94" s="86">
        <v>3.1360436828553673</v>
      </c>
      <c r="N94"/>
      <c r="O94"/>
      <c r="P94"/>
      <c r="Q94"/>
    </row>
    <row r="95" spans="1:17" ht="15" customHeight="1" x14ac:dyDescent="0.25">
      <c r="A95" s="76">
        <v>800153993</v>
      </c>
      <c r="B95" t="s">
        <v>172</v>
      </c>
      <c r="C95" t="s">
        <v>171</v>
      </c>
      <c r="D95" s="84">
        <v>1.0672747102421161</v>
      </c>
      <c r="E95" s="85">
        <v>433719563</v>
      </c>
      <c r="F95" s="66">
        <v>0.62621818852072464</v>
      </c>
      <c r="G95" s="76">
        <v>8757221345</v>
      </c>
      <c r="H95" s="66">
        <v>0.11073676325645057</v>
      </c>
      <c r="I95" s="66">
        <v>0.29626043819039727</v>
      </c>
      <c r="J95" s="86">
        <v>3.4043767508882876</v>
      </c>
      <c r="N95"/>
      <c r="O95"/>
      <c r="P95"/>
      <c r="Q95"/>
    </row>
    <row r="96" spans="1:17" ht="15" customHeight="1" x14ac:dyDescent="0.25">
      <c r="A96" s="76">
        <v>830030718</v>
      </c>
      <c r="B96" t="s">
        <v>173</v>
      </c>
      <c r="C96" t="s">
        <v>171</v>
      </c>
      <c r="D96" s="84">
        <v>4.0615237907217701</v>
      </c>
      <c r="E96" s="85">
        <v>8498141</v>
      </c>
      <c r="F96" s="66">
        <v>0.32435377172738139</v>
      </c>
      <c r="G96" s="76">
        <v>11256906</v>
      </c>
      <c r="H96" s="66">
        <v>1.3191927205578411E-2</v>
      </c>
      <c r="I96" s="66">
        <v>1.9524903201643507E-2</v>
      </c>
      <c r="J96" s="86">
        <v>0.61373454075321332</v>
      </c>
      <c r="N96"/>
      <c r="O96"/>
      <c r="P96"/>
      <c r="Q96"/>
    </row>
    <row r="97" spans="1:17" ht="15" customHeight="1" x14ac:dyDescent="0.25">
      <c r="A97" s="76">
        <v>830079015</v>
      </c>
      <c r="B97" t="s">
        <v>174</v>
      </c>
      <c r="C97" t="s">
        <v>171</v>
      </c>
      <c r="D97" s="84">
        <v>2.3905291640284916</v>
      </c>
      <c r="E97" s="85">
        <v>50738030</v>
      </c>
      <c r="F97" s="66">
        <v>0.59233033575814598</v>
      </c>
      <c r="G97" s="76">
        <v>39708636</v>
      </c>
      <c r="H97" s="66">
        <v>0.17678427644069591</v>
      </c>
      <c r="I97" s="66">
        <v>0.4336458950642374</v>
      </c>
      <c r="J97" s="86">
        <v>1.1457066955377386</v>
      </c>
      <c r="N97"/>
      <c r="O97"/>
      <c r="P97"/>
      <c r="Q97"/>
    </row>
    <row r="98" spans="1:17" ht="15" customHeight="1" x14ac:dyDescent="0.25">
      <c r="A98" s="76">
        <v>800002942</v>
      </c>
      <c r="B98" t="s">
        <v>175</v>
      </c>
      <c r="C98" t="s">
        <v>176</v>
      </c>
      <c r="D98" s="84">
        <v>4.806386546880038</v>
      </c>
      <c r="E98" s="85">
        <v>29252073</v>
      </c>
      <c r="F98" s="66">
        <v>0.20713041627019069</v>
      </c>
      <c r="G98" s="76">
        <v>32080833</v>
      </c>
      <c r="H98" s="66">
        <v>6.1392141507135255E-2</v>
      </c>
      <c r="I98" s="66">
        <v>7.743031485497899E-2</v>
      </c>
      <c r="J98" s="86">
        <v>1.1336034661209857</v>
      </c>
      <c r="N98"/>
      <c r="O98"/>
      <c r="P98"/>
      <c r="Q98"/>
    </row>
    <row r="99" spans="1:17" ht="15" customHeight="1" x14ac:dyDescent="0.25">
      <c r="A99" s="76">
        <v>800136835</v>
      </c>
      <c r="B99" t="s">
        <v>177</v>
      </c>
      <c r="C99" t="s">
        <v>176</v>
      </c>
      <c r="D99" s="84">
        <v>1.2057192809178834</v>
      </c>
      <c r="E99" s="85">
        <v>38960167</v>
      </c>
      <c r="F99" s="66">
        <v>0.37290273834301785</v>
      </c>
      <c r="G99" s="76">
        <v>484447135</v>
      </c>
      <c r="H99" s="66">
        <v>6.1804323493369402E-2</v>
      </c>
      <c r="I99" s="66">
        <v>9.8556200564587915E-2</v>
      </c>
      <c r="J99" s="86">
        <v>3.0907641857638177</v>
      </c>
      <c r="N99"/>
      <c r="O99"/>
      <c r="P99"/>
      <c r="Q99"/>
    </row>
    <row r="100" spans="1:17" ht="15" customHeight="1" x14ac:dyDescent="0.25">
      <c r="A100" s="76">
        <v>800144976</v>
      </c>
      <c r="B100" t="s">
        <v>178</v>
      </c>
      <c r="C100" t="s">
        <v>176</v>
      </c>
      <c r="D100" s="84">
        <v>4.6206305536024459</v>
      </c>
      <c r="E100" s="85">
        <v>14778726</v>
      </c>
      <c r="F100" s="66">
        <v>0.29869884659170676</v>
      </c>
      <c r="G100" s="76">
        <v>17018804</v>
      </c>
      <c r="H100" s="66">
        <v>3.6942583505515138E-2</v>
      </c>
      <c r="I100" s="66">
        <v>5.2677203403952474E-2</v>
      </c>
      <c r="J100" s="86"/>
      <c r="N100"/>
      <c r="O100"/>
      <c r="P100"/>
      <c r="Q100"/>
    </row>
    <row r="101" spans="1:17" ht="15" customHeight="1" x14ac:dyDescent="0.25">
      <c r="A101" s="76">
        <v>800196299</v>
      </c>
      <c r="B101" t="s">
        <v>179</v>
      </c>
      <c r="C101" t="s">
        <v>176</v>
      </c>
      <c r="D101" s="84">
        <v>2.9289385715580076</v>
      </c>
      <c r="E101" s="85">
        <v>25355776</v>
      </c>
      <c r="F101" s="66">
        <v>0.34354364143339261</v>
      </c>
      <c r="G101" s="76">
        <v>26864564</v>
      </c>
      <c r="H101" s="66">
        <v>5.8381799650617336E-2</v>
      </c>
      <c r="I101" s="66">
        <v>8.8934776682026179E-2</v>
      </c>
      <c r="J101" s="86">
        <v>50.430471124620063</v>
      </c>
      <c r="N101"/>
      <c r="O101"/>
      <c r="P101"/>
      <c r="Q101"/>
    </row>
    <row r="102" spans="1:17" ht="15" customHeight="1" x14ac:dyDescent="0.25">
      <c r="A102" s="76">
        <v>804003326</v>
      </c>
      <c r="B102" t="s">
        <v>180</v>
      </c>
      <c r="C102" t="s">
        <v>176</v>
      </c>
      <c r="D102" s="84">
        <v>3.5754318020003115</v>
      </c>
      <c r="E102" s="85">
        <v>9538686</v>
      </c>
      <c r="F102" s="66">
        <v>0.34379189736306281</v>
      </c>
      <c r="G102" s="76">
        <v>10912202</v>
      </c>
      <c r="H102" s="66">
        <v>5.3837835289403044E-2</v>
      </c>
      <c r="I102" s="66">
        <v>8.2043844129718269E-2</v>
      </c>
      <c r="J102" s="86">
        <v>9.1358728927711343</v>
      </c>
      <c r="N102"/>
      <c r="O102"/>
      <c r="P102"/>
      <c r="Q102"/>
    </row>
    <row r="103" spans="1:17" ht="15" customHeight="1" x14ac:dyDescent="0.25">
      <c r="A103" s="76">
        <v>816001431</v>
      </c>
      <c r="B103" t="s">
        <v>181</v>
      </c>
      <c r="C103" t="s">
        <v>176</v>
      </c>
      <c r="D103" s="84">
        <v>1.7126089954886781</v>
      </c>
      <c r="E103" s="85">
        <v>3715854</v>
      </c>
      <c r="F103" s="66">
        <v>0.45266859856166164</v>
      </c>
      <c r="G103" s="76">
        <v>7033723</v>
      </c>
      <c r="H103" s="66">
        <v>3.9076752362084022E-2</v>
      </c>
      <c r="I103" s="66">
        <v>7.1395049250588913E-2</v>
      </c>
      <c r="J103" s="86">
        <v>5.8770802612176114</v>
      </c>
      <c r="N103"/>
      <c r="O103"/>
      <c r="P103"/>
      <c r="Q103"/>
    </row>
    <row r="104" spans="1:17" ht="15" customHeight="1" x14ac:dyDescent="0.25">
      <c r="A104" s="76">
        <v>819003851</v>
      </c>
      <c r="B104" t="s">
        <v>182</v>
      </c>
      <c r="C104" t="s">
        <v>176</v>
      </c>
      <c r="D104" s="84">
        <v>1.4249611120964398</v>
      </c>
      <c r="E104" s="85">
        <v>5072434</v>
      </c>
      <c r="F104" s="66">
        <v>0.34895003833441518</v>
      </c>
      <c r="G104" s="76">
        <v>23718213</v>
      </c>
      <c r="H104" s="66">
        <v>0.27924964187495543</v>
      </c>
      <c r="I104" s="66">
        <v>0.42892198497416312</v>
      </c>
      <c r="J104" s="86">
        <v>42.762051079426996</v>
      </c>
      <c r="N104"/>
      <c r="O104"/>
      <c r="P104"/>
      <c r="Q104"/>
    </row>
    <row r="105" spans="1:17" ht="15" customHeight="1" x14ac:dyDescent="0.25">
      <c r="A105" s="76">
        <v>830031632</v>
      </c>
      <c r="B105" t="s">
        <v>183</v>
      </c>
      <c r="C105" t="s">
        <v>176</v>
      </c>
      <c r="D105" s="84">
        <v>3.4390594519757549</v>
      </c>
      <c r="E105" s="85">
        <v>34071441</v>
      </c>
      <c r="F105" s="66">
        <v>0.77822604810086771</v>
      </c>
      <c r="G105" s="76">
        <v>21404332</v>
      </c>
      <c r="H105" s="66">
        <v>0.11544119774146358</v>
      </c>
      <c r="I105" s="66">
        <v>0.5205354224556038</v>
      </c>
      <c r="J105" s="86">
        <v>1.5223589766292338</v>
      </c>
      <c r="N105"/>
      <c r="O105"/>
      <c r="P105"/>
      <c r="Q105"/>
    </row>
    <row r="106" spans="1:17" ht="15" customHeight="1" x14ac:dyDescent="0.25">
      <c r="A106" s="76">
        <v>830053209</v>
      </c>
      <c r="B106" t="s">
        <v>184</v>
      </c>
      <c r="C106" t="s">
        <v>176</v>
      </c>
      <c r="D106" s="84">
        <v>2.5096077915240853</v>
      </c>
      <c r="E106" s="85">
        <v>6016015</v>
      </c>
      <c r="F106" s="66">
        <v>0.49817137866261907</v>
      </c>
      <c r="G106" s="76">
        <v>5483661</v>
      </c>
      <c r="H106" s="66">
        <v>5.0080907022539208E-2</v>
      </c>
      <c r="I106" s="66">
        <v>9.9796832809322097E-2</v>
      </c>
      <c r="J106" s="86"/>
      <c r="N106"/>
      <c r="O106"/>
      <c r="P106"/>
      <c r="Q106"/>
    </row>
    <row r="107" spans="1:17" ht="15" customHeight="1" x14ac:dyDescent="0.25">
      <c r="A107" s="76">
        <v>830060558</v>
      </c>
      <c r="B107" t="s">
        <v>185</v>
      </c>
      <c r="C107" t="s">
        <v>176</v>
      </c>
      <c r="D107" s="84">
        <v>1.1193913593008273</v>
      </c>
      <c r="E107" s="85">
        <v>3387569</v>
      </c>
      <c r="F107" s="66">
        <v>0.64994323979524637</v>
      </c>
      <c r="G107" s="76">
        <v>15281933</v>
      </c>
      <c r="H107" s="66">
        <v>6.9302746273981988E-2</v>
      </c>
      <c r="I107" s="66">
        <v>0.1979757403726348</v>
      </c>
      <c r="J107" s="86">
        <v>1.7300219465528817</v>
      </c>
      <c r="N107"/>
      <c r="O107"/>
      <c r="P107"/>
      <c r="Q107"/>
    </row>
    <row r="108" spans="1:17" ht="15" customHeight="1" x14ac:dyDescent="0.25">
      <c r="A108" s="76">
        <v>830077975</v>
      </c>
      <c r="B108" t="s">
        <v>186</v>
      </c>
      <c r="C108" t="s">
        <v>176</v>
      </c>
      <c r="D108" s="84">
        <v>3.1976324044288225</v>
      </c>
      <c r="E108" s="85">
        <v>15924418</v>
      </c>
      <c r="F108" s="66">
        <v>0.76441740469571628</v>
      </c>
      <c r="G108" s="76">
        <v>7214300</v>
      </c>
      <c r="H108" s="66">
        <v>2.5852008426282921E-2</v>
      </c>
      <c r="I108" s="66">
        <v>0.1097364955712959</v>
      </c>
      <c r="J108" s="86"/>
      <c r="N108"/>
      <c r="O108"/>
      <c r="P108"/>
      <c r="Q108"/>
    </row>
    <row r="109" spans="1:17" ht="15" customHeight="1" x14ac:dyDescent="0.25">
      <c r="A109" s="76">
        <v>830092675</v>
      </c>
      <c r="B109" t="s">
        <v>187</v>
      </c>
      <c r="C109" t="s">
        <v>176</v>
      </c>
      <c r="D109" s="84">
        <v>1.9156896344977778</v>
      </c>
      <c r="E109" s="85">
        <v>7101750</v>
      </c>
      <c r="F109" s="66">
        <v>0.34208303145992769</v>
      </c>
      <c r="G109" s="76">
        <v>14918312</v>
      </c>
      <c r="H109" s="66">
        <v>0.18690885513551711</v>
      </c>
      <c r="I109" s="66">
        <v>0.28409185972246725</v>
      </c>
      <c r="J109" s="86">
        <v>5.4731698938728286</v>
      </c>
      <c r="N109"/>
      <c r="O109"/>
      <c r="P109"/>
      <c r="Q109"/>
    </row>
    <row r="110" spans="1:17" ht="15" customHeight="1" x14ac:dyDescent="0.25">
      <c r="A110" s="76">
        <v>830115597</v>
      </c>
      <c r="B110" t="s">
        <v>188</v>
      </c>
      <c r="C110" t="s">
        <v>176</v>
      </c>
      <c r="D110" s="84">
        <v>1.7159215168052693</v>
      </c>
      <c r="E110" s="85">
        <v>8013762</v>
      </c>
      <c r="F110" s="66">
        <v>0.55407368174860194</v>
      </c>
      <c r="G110" s="76">
        <v>9008793</v>
      </c>
      <c r="H110" s="66">
        <v>0.18860631830089705</v>
      </c>
      <c r="I110" s="66">
        <v>0.42295399616796614</v>
      </c>
      <c r="J110" s="86">
        <v>4.8067791606849557</v>
      </c>
      <c r="N110"/>
      <c r="O110"/>
      <c r="P110"/>
      <c r="Q110"/>
    </row>
    <row r="111" spans="1:17" ht="15" customHeight="1" x14ac:dyDescent="0.25">
      <c r="A111" s="76">
        <v>830119227</v>
      </c>
      <c r="B111" t="s">
        <v>189</v>
      </c>
      <c r="C111" t="s">
        <v>176</v>
      </c>
      <c r="D111" s="84">
        <v>2.5350092143772591</v>
      </c>
      <c r="E111" s="85">
        <v>22235399</v>
      </c>
      <c r="F111" s="66">
        <v>0.80938742239580386</v>
      </c>
      <c r="G111" s="76">
        <v>8486867</v>
      </c>
      <c r="H111" s="66">
        <v>0.11339636172001945</v>
      </c>
      <c r="I111" s="66">
        <v>0.59490492781376214</v>
      </c>
      <c r="J111" s="86"/>
      <c r="N111"/>
      <c r="O111"/>
      <c r="P111"/>
      <c r="Q111"/>
    </row>
    <row r="112" spans="1:17" ht="15" customHeight="1" x14ac:dyDescent="0.25">
      <c r="A112" s="76">
        <v>830134971</v>
      </c>
      <c r="B112" t="s">
        <v>190</v>
      </c>
      <c r="C112" t="s">
        <v>176</v>
      </c>
      <c r="D112" s="84">
        <v>1.5165192238034437</v>
      </c>
      <c r="E112" s="85">
        <v>21298414</v>
      </c>
      <c r="F112" s="66">
        <v>0.61557000312372556</v>
      </c>
      <c r="G112" s="76">
        <v>29283980</v>
      </c>
      <c r="H112" s="66">
        <v>0.12332053802645263</v>
      </c>
      <c r="I112" s="66">
        <v>0.32078802130038336</v>
      </c>
      <c r="J112" s="86">
        <v>2.008433584506458</v>
      </c>
      <c r="N112"/>
      <c r="O112"/>
      <c r="P112"/>
      <c r="Q112"/>
    </row>
    <row r="113" spans="1:17" ht="15" customHeight="1" x14ac:dyDescent="0.25">
      <c r="A113" s="76">
        <v>830136162</v>
      </c>
      <c r="B113" t="s">
        <v>191</v>
      </c>
      <c r="C113" t="s">
        <v>176</v>
      </c>
      <c r="D113" s="84">
        <v>1.6007051185853733</v>
      </c>
      <c r="E113" s="85">
        <v>14582497</v>
      </c>
      <c r="F113" s="66">
        <v>0.58228362952753177</v>
      </c>
      <c r="G113" s="76">
        <v>22269570</v>
      </c>
      <c r="H113" s="66">
        <v>0.27149612386611827</v>
      </c>
      <c r="I113" s="66">
        <v>0.64995327705025285</v>
      </c>
      <c r="J113" s="86">
        <v>8.4849156325914254</v>
      </c>
      <c r="N113"/>
      <c r="O113"/>
      <c r="P113"/>
      <c r="Q113"/>
    </row>
    <row r="114" spans="1:17" ht="15" customHeight="1" x14ac:dyDescent="0.25">
      <c r="A114" s="76">
        <v>830141109</v>
      </c>
      <c r="B114" t="s">
        <v>192</v>
      </c>
      <c r="C114" t="s">
        <v>176</v>
      </c>
      <c r="D114" s="84">
        <v>1.7707977034300189</v>
      </c>
      <c r="E114" s="85">
        <v>11778061</v>
      </c>
      <c r="F114" s="66">
        <v>0.41961558959889972</v>
      </c>
      <c r="G114" s="76">
        <v>33855576</v>
      </c>
      <c r="H114" s="66">
        <v>5.2967615032315916E-2</v>
      </c>
      <c r="I114" s="66">
        <v>9.1262987225501649E-2</v>
      </c>
      <c r="J114" s="86">
        <v>1.7468485037283119</v>
      </c>
      <c r="N114"/>
      <c r="O114"/>
      <c r="P114"/>
      <c r="Q114"/>
    </row>
    <row r="115" spans="1:17" ht="15" customHeight="1" x14ac:dyDescent="0.25">
      <c r="A115" s="76">
        <v>830511769</v>
      </c>
      <c r="B115" t="s">
        <v>193</v>
      </c>
      <c r="C115" t="s">
        <v>176</v>
      </c>
      <c r="D115" s="84">
        <v>2.8270261736894362</v>
      </c>
      <c r="E115" s="85">
        <v>39302470</v>
      </c>
      <c r="F115" s="66">
        <v>0.31753345001768507</v>
      </c>
      <c r="G115" s="76">
        <v>46234585</v>
      </c>
      <c r="H115" s="66">
        <v>0.66371579957235161</v>
      </c>
      <c r="I115" s="66">
        <v>0.97252502644935601</v>
      </c>
      <c r="J115" s="86"/>
      <c r="N115"/>
      <c r="O115"/>
      <c r="P115"/>
      <c r="Q115"/>
    </row>
    <row r="116" spans="1:17" ht="15" customHeight="1" x14ac:dyDescent="0.25">
      <c r="A116" s="76">
        <v>844000518</v>
      </c>
      <c r="B116" t="s">
        <v>194</v>
      </c>
      <c r="C116" t="s">
        <v>176</v>
      </c>
      <c r="D116" s="84">
        <v>1.2738255580314664</v>
      </c>
      <c r="E116" s="85">
        <v>2870455</v>
      </c>
      <c r="F116" s="66">
        <v>0.64622276106936605</v>
      </c>
      <c r="G116" s="76">
        <v>6819311</v>
      </c>
      <c r="H116" s="66">
        <v>0.12274208174843793</v>
      </c>
      <c r="I116" s="66">
        <v>0.34694736755663441</v>
      </c>
      <c r="J116" s="86"/>
      <c r="N116"/>
      <c r="O116"/>
      <c r="P116"/>
      <c r="Q116"/>
    </row>
    <row r="117" spans="1:17" ht="15" customHeight="1" x14ac:dyDescent="0.25">
      <c r="A117" s="76">
        <v>860025285</v>
      </c>
      <c r="B117" t="s">
        <v>195</v>
      </c>
      <c r="C117" t="s">
        <v>176</v>
      </c>
      <c r="D117" s="84">
        <v>1.5337839921434031</v>
      </c>
      <c r="E117" s="85">
        <v>98007687</v>
      </c>
      <c r="F117" s="66">
        <v>0.63451328728180723</v>
      </c>
      <c r="G117" s="76">
        <v>111381632</v>
      </c>
      <c r="H117" s="66">
        <v>5.7000532235098059E-2</v>
      </c>
      <c r="I117" s="66">
        <v>0.15595787822537921</v>
      </c>
      <c r="J117" s="86">
        <v>228.74732350965905</v>
      </c>
      <c r="N117"/>
      <c r="O117"/>
      <c r="P117"/>
      <c r="Q117"/>
    </row>
    <row r="118" spans="1:17" ht="15" customHeight="1" x14ac:dyDescent="0.25">
      <c r="A118" s="76">
        <v>860074671</v>
      </c>
      <c r="B118" t="s">
        <v>196</v>
      </c>
      <c r="C118" t="s">
        <v>176</v>
      </c>
      <c r="D118" s="84">
        <v>1.2729290741138291</v>
      </c>
      <c r="E118" s="85">
        <v>8059086</v>
      </c>
      <c r="F118" s="66">
        <v>0.82423851235012491</v>
      </c>
      <c r="G118" s="76">
        <v>17099285</v>
      </c>
      <c r="H118" s="66">
        <v>4.2732189862825273E-2</v>
      </c>
      <c r="I118" s="66">
        <v>0.24312601374852807</v>
      </c>
      <c r="J118" s="86">
        <v>1.3079322601693748</v>
      </c>
      <c r="N118"/>
      <c r="O118"/>
      <c r="P118"/>
      <c r="Q118"/>
    </row>
    <row r="119" spans="1:17" ht="15" customHeight="1" x14ac:dyDescent="0.25">
      <c r="A119" s="76">
        <v>860531552</v>
      </c>
      <c r="B119" t="s">
        <v>197</v>
      </c>
      <c r="C119" t="s">
        <v>176</v>
      </c>
      <c r="D119" s="84">
        <v>6.3468596440047653</v>
      </c>
      <c r="E119" s="85">
        <v>9878906</v>
      </c>
      <c r="F119" s="66">
        <v>0.28802757726054073</v>
      </c>
      <c r="G119" s="76">
        <v>9512566</v>
      </c>
      <c r="H119" s="66">
        <v>0.2336312407364704</v>
      </c>
      <c r="I119" s="66">
        <v>0.32814647488385362</v>
      </c>
      <c r="J119" s="86">
        <v>1456.6098926738218</v>
      </c>
      <c r="N119"/>
      <c r="O119"/>
      <c r="P119"/>
      <c r="Q119"/>
    </row>
    <row r="120" spans="1:17" ht="15" customHeight="1" x14ac:dyDescent="0.25">
      <c r="A120" s="76">
        <v>900023333</v>
      </c>
      <c r="B120" t="s">
        <v>198</v>
      </c>
      <c r="C120" t="s">
        <v>176</v>
      </c>
      <c r="D120" s="84">
        <v>25.302873430538728</v>
      </c>
      <c r="E120" s="85">
        <v>887740683</v>
      </c>
      <c r="F120" s="66">
        <v>1.3701577739226437E-2</v>
      </c>
      <c r="G120" s="76">
        <v>6656657180</v>
      </c>
      <c r="H120" s="66">
        <v>0.17599292571554001</v>
      </c>
      <c r="I120" s="66">
        <v>0.17843780517475891</v>
      </c>
      <c r="J120" s="86"/>
      <c r="N120"/>
      <c r="O120"/>
      <c r="P120"/>
      <c r="Q120"/>
    </row>
    <row r="121" spans="1:17" ht="15" customHeight="1" x14ac:dyDescent="0.25">
      <c r="A121" s="76">
        <v>900107634</v>
      </c>
      <c r="B121" t="s">
        <v>199</v>
      </c>
      <c r="C121" t="s">
        <v>176</v>
      </c>
      <c r="D121" s="84">
        <v>1.2883048875420966</v>
      </c>
      <c r="E121" s="85">
        <v>6903449</v>
      </c>
      <c r="F121" s="66">
        <v>0.73305396516884214</v>
      </c>
      <c r="G121" s="76">
        <v>8719702</v>
      </c>
      <c r="H121" s="66">
        <v>2.6676504413240217E-2</v>
      </c>
      <c r="I121" s="66">
        <v>9.9932199517827558E-2</v>
      </c>
      <c r="J121" s="86">
        <v>0.46682159902840481</v>
      </c>
      <c r="N121"/>
      <c r="O121"/>
      <c r="P121"/>
      <c r="Q121"/>
    </row>
    <row r="122" spans="1:17" ht="15" customHeight="1" x14ac:dyDescent="0.25">
      <c r="A122" s="76">
        <v>900134430</v>
      </c>
      <c r="B122" t="s">
        <v>200</v>
      </c>
      <c r="C122" t="s">
        <v>176</v>
      </c>
      <c r="D122" s="84">
        <v>1.024913249797258</v>
      </c>
      <c r="E122" s="85">
        <v>22874273</v>
      </c>
      <c r="F122" s="66">
        <v>0.94841830844488595</v>
      </c>
      <c r="G122" s="76">
        <v>49935864</v>
      </c>
      <c r="H122" s="66">
        <v>1.3642283110223662E-2</v>
      </c>
      <c r="I122" s="66">
        <v>0.26447917272443711</v>
      </c>
      <c r="J122" s="86">
        <v>0.45214444812701321</v>
      </c>
      <c r="N122"/>
      <c r="O122"/>
      <c r="P122"/>
      <c r="Q122"/>
    </row>
    <row r="123" spans="1:17" ht="15" customHeight="1" x14ac:dyDescent="0.25">
      <c r="A123" s="76">
        <v>900159239</v>
      </c>
      <c r="B123" t="s">
        <v>201</v>
      </c>
      <c r="C123" t="s">
        <v>176</v>
      </c>
      <c r="D123" s="84">
        <v>1.7975211232048631</v>
      </c>
      <c r="E123" s="85">
        <v>6419222</v>
      </c>
      <c r="F123" s="66">
        <v>0.49497052008603681</v>
      </c>
      <c r="G123" s="76">
        <v>9179383</v>
      </c>
      <c r="H123" s="66">
        <v>0.23371931072596816</v>
      </c>
      <c r="I123" s="66">
        <v>0.46278350080827874</v>
      </c>
      <c r="J123" s="86">
        <v>3.639667465758706</v>
      </c>
      <c r="N123"/>
      <c r="O123"/>
      <c r="P123"/>
      <c r="Q123"/>
    </row>
    <row r="124" spans="1:17" ht="15" customHeight="1" x14ac:dyDescent="0.25">
      <c r="A124" s="76">
        <v>900245364</v>
      </c>
      <c r="B124" t="s">
        <v>202</v>
      </c>
      <c r="C124" t="s">
        <v>176</v>
      </c>
      <c r="D124" s="84">
        <v>2.5561424217383775</v>
      </c>
      <c r="E124" s="85">
        <v>27707301</v>
      </c>
      <c r="F124" s="66">
        <v>0.62676024754647963</v>
      </c>
      <c r="G124" s="76">
        <v>17892845</v>
      </c>
      <c r="H124" s="66">
        <v>0.14415606575651532</v>
      </c>
      <c r="I124" s="66">
        <v>0.38622913237106787</v>
      </c>
      <c r="J124" s="86">
        <v>6.4364609392317682</v>
      </c>
      <c r="N124"/>
      <c r="O124"/>
      <c r="P124"/>
      <c r="Q124"/>
    </row>
    <row r="125" spans="1:17" ht="15" customHeight="1" x14ac:dyDescent="0.25">
      <c r="A125" s="76">
        <v>900258336</v>
      </c>
      <c r="B125" t="s">
        <v>203</v>
      </c>
      <c r="C125" t="s">
        <v>176</v>
      </c>
      <c r="D125" s="84">
        <v>3.6165936370567442</v>
      </c>
      <c r="E125" s="85">
        <v>35908637</v>
      </c>
      <c r="F125" s="66">
        <v>0.24585784438349395</v>
      </c>
      <c r="G125" s="76">
        <v>43071333</v>
      </c>
      <c r="H125" s="66">
        <v>0.13193777054253272</v>
      </c>
      <c r="I125" s="66">
        <v>0.17495079615947803</v>
      </c>
      <c r="J125" s="86"/>
      <c r="N125"/>
      <c r="O125"/>
      <c r="P125"/>
      <c r="Q125"/>
    </row>
    <row r="126" spans="1:17" ht="15" customHeight="1" x14ac:dyDescent="0.25">
      <c r="A126" s="76">
        <v>900307626</v>
      </c>
      <c r="B126" t="s">
        <v>204</v>
      </c>
      <c r="C126" t="s">
        <v>176</v>
      </c>
      <c r="D126" s="84">
        <v>5.3693471353100568</v>
      </c>
      <c r="E126" s="85">
        <v>5603360</v>
      </c>
      <c r="F126" s="66">
        <v>0.34241026510582956</v>
      </c>
      <c r="G126" s="76">
        <v>7209441</v>
      </c>
      <c r="H126" s="66">
        <v>0.17216961147115142</v>
      </c>
      <c r="I126" s="66">
        <v>0.26181918958765321</v>
      </c>
      <c r="J126" s="86">
        <v>3.3507833885415446</v>
      </c>
      <c r="N126"/>
      <c r="O126"/>
      <c r="P126"/>
      <c r="Q126"/>
    </row>
    <row r="127" spans="1:17" ht="15" customHeight="1" x14ac:dyDescent="0.25">
      <c r="A127" s="76">
        <v>900308815</v>
      </c>
      <c r="B127" t="s">
        <v>205</v>
      </c>
      <c r="C127" t="s">
        <v>176</v>
      </c>
      <c r="D127" s="84">
        <v>1.5101233461521375</v>
      </c>
      <c r="E127" s="85">
        <v>73516878</v>
      </c>
      <c r="F127" s="66">
        <v>0.69589008612328696</v>
      </c>
      <c r="G127" s="76">
        <v>71130402</v>
      </c>
      <c r="H127" s="66">
        <v>2.2243109572264833E-2</v>
      </c>
      <c r="I127" s="66">
        <v>7.3141678575076807E-2</v>
      </c>
      <c r="J127" s="86">
        <v>0.19130113601891466</v>
      </c>
      <c r="N127"/>
      <c r="O127"/>
      <c r="P127"/>
      <c r="Q127"/>
    </row>
    <row r="128" spans="1:17" ht="15" customHeight="1" x14ac:dyDescent="0.25">
      <c r="A128" s="76">
        <v>900311748</v>
      </c>
      <c r="B128" t="s">
        <v>206</v>
      </c>
      <c r="C128" t="s">
        <v>176</v>
      </c>
      <c r="D128" s="84">
        <v>1.2506198403215147</v>
      </c>
      <c r="E128" s="85">
        <v>11619121</v>
      </c>
      <c r="F128" s="66">
        <v>0.64534962940159624</v>
      </c>
      <c r="G128" s="76">
        <v>37100359</v>
      </c>
      <c r="H128" s="66">
        <v>0.18944250093885848</v>
      </c>
      <c r="I128" s="66">
        <v>0.53416693353290734</v>
      </c>
      <c r="J128" s="86">
        <v>4.774756639689409</v>
      </c>
      <c r="N128"/>
      <c r="O128"/>
      <c r="P128"/>
      <c r="Q128"/>
    </row>
    <row r="129" spans="1:17" ht="15" customHeight="1" x14ac:dyDescent="0.25">
      <c r="A129" s="76">
        <v>900466896</v>
      </c>
      <c r="B129" t="s">
        <v>207</v>
      </c>
      <c r="C129" t="s">
        <v>176</v>
      </c>
      <c r="D129" s="84">
        <v>1.7781838592673094</v>
      </c>
      <c r="E129" s="85">
        <v>13787741</v>
      </c>
      <c r="F129" s="66">
        <v>0.71922170491937432</v>
      </c>
      <c r="G129" s="76">
        <v>15192774</v>
      </c>
      <c r="H129" s="66">
        <v>0.1184919957590444</v>
      </c>
      <c r="I129" s="66">
        <v>0.42201266207211402</v>
      </c>
      <c r="J129" s="86">
        <v>1.4316647325608371</v>
      </c>
      <c r="N129"/>
      <c r="O129"/>
      <c r="P129"/>
      <c r="Q129"/>
    </row>
    <row r="130" spans="1:17" ht="15" customHeight="1" x14ac:dyDescent="0.25">
      <c r="A130" s="76">
        <v>900482362</v>
      </c>
      <c r="B130" t="s">
        <v>208</v>
      </c>
      <c r="C130" t="s">
        <v>176</v>
      </c>
      <c r="D130" s="84">
        <v>1.5879846216747819</v>
      </c>
      <c r="E130" s="85">
        <v>4194951</v>
      </c>
      <c r="F130" s="66">
        <v>0.55639958129987022</v>
      </c>
      <c r="G130" s="76">
        <v>5688085</v>
      </c>
      <c r="H130" s="66">
        <v>0.11983458506121485</v>
      </c>
      <c r="I130" s="66">
        <v>0.27014082947072698</v>
      </c>
      <c r="J130" s="86">
        <v>0.52384908652736528</v>
      </c>
      <c r="N130"/>
      <c r="O130"/>
      <c r="P130"/>
      <c r="Q130"/>
    </row>
    <row r="131" spans="1:17" ht="15" customHeight="1" x14ac:dyDescent="0.25">
      <c r="A131" s="76">
        <v>900799928</v>
      </c>
      <c r="B131" t="s">
        <v>209</v>
      </c>
      <c r="C131" t="s">
        <v>176</v>
      </c>
      <c r="D131" s="84">
        <v>33.852843914262259</v>
      </c>
      <c r="E131" s="85">
        <v>10043870</v>
      </c>
      <c r="F131" s="66">
        <v>1.6716433089814131E-2</v>
      </c>
      <c r="G131" s="76">
        <v>17983047</v>
      </c>
      <c r="H131" s="66">
        <v>1.7728693619089748E-2</v>
      </c>
      <c r="I131" s="66">
        <v>1.8030092453186604E-2</v>
      </c>
      <c r="J131" s="86">
        <v>55.011197828299963</v>
      </c>
      <c r="N131"/>
      <c r="O131"/>
      <c r="P131"/>
      <c r="Q131"/>
    </row>
    <row r="132" spans="1:17" ht="15" customHeight="1" x14ac:dyDescent="0.25">
      <c r="A132" s="76">
        <v>900940386</v>
      </c>
      <c r="B132" t="s">
        <v>210</v>
      </c>
      <c r="C132" t="s">
        <v>176</v>
      </c>
      <c r="D132" s="84">
        <v>1.4493011740772566</v>
      </c>
      <c r="E132" s="85">
        <v>17355125</v>
      </c>
      <c r="F132" s="66">
        <v>0.80146871548219289</v>
      </c>
      <c r="G132" s="76">
        <v>12435954</v>
      </c>
      <c r="H132" s="66">
        <v>2.1978864226353322E-2</v>
      </c>
      <c r="I132" s="66">
        <v>0.11070730882407574</v>
      </c>
      <c r="J132" s="86">
        <v>0.41257431501625574</v>
      </c>
      <c r="N132"/>
      <c r="O132"/>
      <c r="P132"/>
      <c r="Q132"/>
    </row>
    <row r="133" spans="1:17" ht="15" customHeight="1" x14ac:dyDescent="0.25">
      <c r="A133" s="76">
        <v>901193667</v>
      </c>
      <c r="B133" t="s">
        <v>211</v>
      </c>
      <c r="C133" t="s">
        <v>176</v>
      </c>
      <c r="D133" s="84">
        <v>2.9985912812411843</v>
      </c>
      <c r="E133" s="85">
        <v>8884086</v>
      </c>
      <c r="F133" s="66">
        <v>0.43280952208978402</v>
      </c>
      <c r="G133" s="76">
        <v>8292411</v>
      </c>
      <c r="H133" s="66">
        <v>0.45951184365251468</v>
      </c>
      <c r="I133" s="66">
        <v>0.81015436885605407</v>
      </c>
      <c r="J133" s="86">
        <v>6.6745084130125498</v>
      </c>
    </row>
    <row r="134" spans="1:17" ht="15" customHeight="1" x14ac:dyDescent="0.25">
      <c r="A134"/>
      <c r="B134"/>
      <c r="C134"/>
      <c r="D134" s="74"/>
      <c r="E134" s="75"/>
      <c r="F134" s="74"/>
      <c r="G134" s="75"/>
      <c r="H134" s="74"/>
      <c r="I134" s="74"/>
      <c r="J134" s="76"/>
    </row>
    <row r="135" spans="1:17" ht="15" customHeight="1" x14ac:dyDescent="0.25">
      <c r="A135" s="70"/>
      <c r="B135" s="70"/>
      <c r="C135" s="64"/>
      <c r="D135" s="13"/>
      <c r="E135" s="65"/>
      <c r="F135" s="66"/>
      <c r="G135" s="67"/>
      <c r="H135" s="66"/>
      <c r="I135" s="66"/>
      <c r="J135" s="68"/>
    </row>
    <row r="136" spans="1:17" ht="15" customHeight="1" x14ac:dyDescent="0.25">
      <c r="A136" s="49"/>
      <c r="B136" s="49"/>
      <c r="C136" s="50"/>
      <c r="D136" s="51"/>
      <c r="E136" s="55"/>
      <c r="F136" s="57"/>
      <c r="G136" s="56"/>
      <c r="H136" s="57"/>
      <c r="I136" s="57"/>
      <c r="J136" s="54"/>
    </row>
    <row r="137" spans="1:17" ht="12.75" thickBot="1" x14ac:dyDescent="0.25"/>
    <row r="138" spans="1:17" ht="40.5" customHeight="1" thickTop="1" thickBot="1" x14ac:dyDescent="0.25">
      <c r="A138" s="31" t="s">
        <v>46</v>
      </c>
      <c r="B138" s="29">
        <f>COUNTA(B20:B133)</f>
        <v>114</v>
      </c>
    </row>
    <row r="139" spans="1:17" ht="12.75" thickTop="1" x14ac:dyDescent="0.2"/>
    <row r="140" spans="1:17" ht="15.75" customHeight="1" x14ac:dyDescent="0.2">
      <c r="A140" s="97" t="s">
        <v>65</v>
      </c>
      <c r="B140" s="15" t="s">
        <v>57</v>
      </c>
      <c r="D140" s="13">
        <f t="shared" ref="D140:J140" si="0">SUBTOTAL(1,D20:D132)</f>
        <v>5.5478194306593727</v>
      </c>
      <c r="E140" s="52">
        <f t="shared" si="0"/>
        <v>36565632.938053094</v>
      </c>
      <c r="F140" s="58">
        <f t="shared" si="0"/>
        <v>0.49881159432106653</v>
      </c>
      <c r="G140" s="13">
        <f t="shared" si="0"/>
        <v>186154811.22123894</v>
      </c>
      <c r="H140" s="58">
        <f t="shared" si="0"/>
        <v>0.13597457333061536</v>
      </c>
      <c r="I140" s="58">
        <f t="shared" si="0"/>
        <v>0.31682763463664915</v>
      </c>
      <c r="J140" s="13">
        <f t="shared" si="0"/>
        <v>31.768429354312957</v>
      </c>
    </row>
    <row r="141" spans="1:17" x14ac:dyDescent="0.2">
      <c r="A141" s="97"/>
      <c r="B141" s="15" t="s">
        <v>10</v>
      </c>
      <c r="D141" s="13">
        <f t="shared" ref="D141:J141" si="1">SUBTOTAL(7,D20:D132)</f>
        <v>16.959956741042305</v>
      </c>
      <c r="E141" s="52">
        <f t="shared" si="1"/>
        <v>106031190.67455593</v>
      </c>
      <c r="F141" s="58">
        <f t="shared" si="1"/>
        <v>0.22705959271762607</v>
      </c>
      <c r="G141" s="13">
        <f t="shared" si="1"/>
        <v>1045108707.8363271</v>
      </c>
      <c r="H141" s="58">
        <f t="shared" si="1"/>
        <v>0.10290832885060648</v>
      </c>
      <c r="I141" s="58">
        <f t="shared" si="1"/>
        <v>0.24894217317838446</v>
      </c>
      <c r="J141" s="13">
        <f t="shared" si="1"/>
        <v>158.45465009468214</v>
      </c>
    </row>
    <row r="142" spans="1:17" x14ac:dyDescent="0.2">
      <c r="A142" s="97"/>
      <c r="B142" s="15" t="s">
        <v>11</v>
      </c>
      <c r="D142" s="13">
        <f t="shared" ref="D142:J142" si="2">SUBTOTAL(5,D20:D132)</f>
        <v>1.024913249797258</v>
      </c>
      <c r="E142" s="52">
        <f t="shared" si="2"/>
        <v>2415722</v>
      </c>
      <c r="F142" s="58">
        <f t="shared" si="2"/>
        <v>1.3701577739226437E-2</v>
      </c>
      <c r="G142" s="13">
        <f t="shared" si="2"/>
        <v>5084570</v>
      </c>
      <c r="H142" s="58">
        <f t="shared" si="2"/>
        <v>1.3191927205578411E-2</v>
      </c>
      <c r="I142" s="58">
        <f t="shared" si="2"/>
        <v>1.8030092453186604E-2</v>
      </c>
      <c r="J142" s="13">
        <f t="shared" si="2"/>
        <v>3.9871701433498823E-2</v>
      </c>
    </row>
    <row r="143" spans="1:17" x14ac:dyDescent="0.2">
      <c r="A143" s="97"/>
      <c r="B143" s="15" t="s">
        <v>12</v>
      </c>
      <c r="D143" s="13">
        <f t="shared" ref="D143:J143" si="3">SUBTOTAL(4,D20:D132)</f>
        <v>174.14204999586582</v>
      </c>
      <c r="E143" s="52">
        <f t="shared" si="3"/>
        <v>887740683</v>
      </c>
      <c r="F143" s="58">
        <f t="shared" si="3"/>
        <v>0.94841830844488595</v>
      </c>
      <c r="G143" s="13">
        <f t="shared" si="3"/>
        <v>8757221345</v>
      </c>
      <c r="H143" s="58">
        <f t="shared" si="3"/>
        <v>0.66371579957235161</v>
      </c>
      <c r="I143" s="58">
        <f t="shared" si="3"/>
        <v>1.3967108559214632</v>
      </c>
      <c r="J143" s="13">
        <f t="shared" si="3"/>
        <v>1456.6098926738218</v>
      </c>
    </row>
    <row r="146" spans="1:10" ht="36" customHeight="1" x14ac:dyDescent="0.2">
      <c r="A146" s="32" t="s">
        <v>83</v>
      </c>
      <c r="B146" s="98" t="s">
        <v>71</v>
      </c>
      <c r="C146" s="98"/>
      <c r="D146" s="98"/>
      <c r="E146" s="98"/>
      <c r="F146" s="98"/>
      <c r="G146" s="98"/>
      <c r="H146" s="98"/>
      <c r="I146" s="98"/>
      <c r="J146" s="98"/>
    </row>
    <row r="147" spans="1:10" x14ac:dyDescent="0.2">
      <c r="B147" s="14"/>
      <c r="D147" s="21"/>
    </row>
    <row r="148" spans="1:10" ht="12" customHeight="1" x14ac:dyDescent="0.2">
      <c r="B148" s="53" t="s">
        <v>20</v>
      </c>
      <c r="C148" s="99" t="s">
        <v>15</v>
      </c>
      <c r="D148" s="99"/>
      <c r="E148" s="37"/>
    </row>
    <row r="149" spans="1:10" ht="14.25" x14ac:dyDescent="0.2">
      <c r="B149" s="2" t="s">
        <v>73</v>
      </c>
      <c r="C149" s="3">
        <f>COUNTIF(D20:D133,"&gt;=0")-COUNTIF(D20:D133,"&gt;1")</f>
        <v>0</v>
      </c>
      <c r="D149" s="4">
        <f>+C149/$B$138</f>
        <v>0</v>
      </c>
      <c r="E149" s="35"/>
      <c r="G149" s="22"/>
    </row>
    <row r="150" spans="1:10" ht="14.25" x14ac:dyDescent="0.2">
      <c r="B150" s="2" t="s">
        <v>74</v>
      </c>
      <c r="C150" s="3">
        <f>COUNTIF(D20:D133,"&gt;=1")-COUNTIF(D20:D133,"&gt;2")</f>
        <v>51</v>
      </c>
      <c r="D150" s="4">
        <f t="shared" ref="D150:D156" si="4">+C150/$B$138</f>
        <v>0.44736842105263158</v>
      </c>
      <c r="E150" s="35"/>
    </row>
    <row r="151" spans="1:10" ht="14.25" x14ac:dyDescent="0.2">
      <c r="B151" s="2" t="s">
        <v>27</v>
      </c>
      <c r="C151" s="3">
        <f>COUNTIF(D20:D133,"&gt;=2")-COUNTIF(D20:D133,"&gt;5")</f>
        <v>45</v>
      </c>
      <c r="D151" s="4">
        <f t="shared" si="4"/>
        <v>0.39473684210526316</v>
      </c>
      <c r="E151" s="35"/>
    </row>
    <row r="152" spans="1:10" ht="14.25" x14ac:dyDescent="0.2">
      <c r="B152" s="5" t="s">
        <v>21</v>
      </c>
      <c r="C152" s="3">
        <f>COUNTIF(D20:D133,"&gt;=5")-COUNTIF(D20:D133,"&gt;10")</f>
        <v>7</v>
      </c>
      <c r="D152" s="4">
        <f t="shared" si="4"/>
        <v>6.1403508771929821E-2</v>
      </c>
      <c r="E152" s="35"/>
    </row>
    <row r="153" spans="1:10" ht="14.25" x14ac:dyDescent="0.2">
      <c r="B153" s="2" t="s">
        <v>28</v>
      </c>
      <c r="C153" s="3">
        <f>COUNTIF(D20:D133,"&gt;=10")-COUNTIF(D20:D133,"&gt;20")</f>
        <v>5</v>
      </c>
      <c r="D153" s="4">
        <f t="shared" si="4"/>
        <v>4.3859649122807015E-2</v>
      </c>
      <c r="E153" s="35"/>
    </row>
    <row r="154" spans="1:10" ht="14.25" x14ac:dyDescent="0.2">
      <c r="B154" s="2" t="s">
        <v>22</v>
      </c>
      <c r="C154" s="3">
        <f>COUNTIF(D20:D133,"&gt;=20")-COUNTIF(D20:D133,"&gt;30")</f>
        <v>4</v>
      </c>
      <c r="D154" s="4">
        <f t="shared" si="4"/>
        <v>3.5087719298245612E-2</v>
      </c>
      <c r="E154" s="35"/>
    </row>
    <row r="155" spans="1:10" ht="14.25" x14ac:dyDescent="0.2">
      <c r="B155" s="2" t="s">
        <v>23</v>
      </c>
      <c r="C155" s="3">
        <f>COUNTIF(D20:D133,"&gt;=30")-COUNTIF(D20:D133,"&gt;50")</f>
        <v>1</v>
      </c>
      <c r="D155" s="4">
        <f t="shared" si="4"/>
        <v>8.771929824561403E-3</v>
      </c>
      <c r="E155" s="35"/>
    </row>
    <row r="156" spans="1:10" ht="14.25" x14ac:dyDescent="0.2">
      <c r="B156" s="2" t="s">
        <v>24</v>
      </c>
      <c r="C156" s="3">
        <f>COUNTIF(D20:D133,"&gt;50")</f>
        <v>1</v>
      </c>
      <c r="D156" s="4">
        <f t="shared" si="4"/>
        <v>8.771929824561403E-3</v>
      </c>
      <c r="E156" s="35"/>
    </row>
    <row r="157" spans="1:10" ht="14.25" x14ac:dyDescent="0.2">
      <c r="B157" s="33" t="s">
        <v>14</v>
      </c>
      <c r="C157" s="6">
        <f>SUM(C149:C156)</f>
        <v>114</v>
      </c>
      <c r="D157" s="7">
        <f>SUM(D149:D156)</f>
        <v>1</v>
      </c>
      <c r="E157" s="36"/>
    </row>
    <row r="161" spans="2:10" ht="36" customHeight="1" x14ac:dyDescent="0.2">
      <c r="B161" s="98" t="s">
        <v>70</v>
      </c>
      <c r="C161" s="98"/>
      <c r="D161" s="98"/>
      <c r="E161" s="98"/>
      <c r="F161" s="98"/>
      <c r="G161" s="98"/>
      <c r="H161" s="98"/>
      <c r="I161" s="98"/>
      <c r="J161" s="98"/>
    </row>
    <row r="163" spans="2:10" ht="12" customHeight="1" x14ac:dyDescent="0.2">
      <c r="B163" s="34" t="s">
        <v>20</v>
      </c>
      <c r="C163" s="109" t="s">
        <v>15</v>
      </c>
      <c r="D163" s="110"/>
      <c r="E163" s="38"/>
    </row>
    <row r="164" spans="2:10" ht="14.25" x14ac:dyDescent="0.2">
      <c r="B164" s="2" t="s">
        <v>29</v>
      </c>
      <c r="C164" s="3">
        <f>COUNTIF(E20:E133,"&lt;0")</f>
        <v>0</v>
      </c>
      <c r="D164" s="4">
        <f>+C164/$B$138</f>
        <v>0</v>
      </c>
      <c r="E164" s="35"/>
    </row>
    <row r="165" spans="2:10" ht="14.25" x14ac:dyDescent="0.2">
      <c r="B165" s="2" t="s">
        <v>30</v>
      </c>
      <c r="C165" s="3">
        <f>COUNTIF(E20:E133,"=0")</f>
        <v>0</v>
      </c>
      <c r="D165" s="4">
        <f>+C165/$B$138</f>
        <v>0</v>
      </c>
      <c r="E165" s="35"/>
    </row>
    <row r="166" spans="2:10" ht="14.25" x14ac:dyDescent="0.2">
      <c r="B166" s="2" t="s">
        <v>31</v>
      </c>
      <c r="C166" s="3">
        <f>COUNTIF(E20:E133,"&gt;0")</f>
        <v>114</v>
      </c>
      <c r="D166" s="4">
        <f>+C166/$B$138</f>
        <v>1</v>
      </c>
      <c r="E166" s="35"/>
    </row>
    <row r="167" spans="2:10" ht="14.25" x14ac:dyDescent="0.2">
      <c r="B167" s="33" t="s">
        <v>14</v>
      </c>
      <c r="C167" s="6">
        <f>SUM(C164:C166)</f>
        <v>114</v>
      </c>
      <c r="D167" s="7">
        <f>SUM(D164:D166)</f>
        <v>1</v>
      </c>
      <c r="E167" s="36"/>
    </row>
    <row r="172" spans="2:10" ht="36" customHeight="1" x14ac:dyDescent="0.2">
      <c r="B172" s="98" t="s">
        <v>69</v>
      </c>
      <c r="C172" s="98"/>
      <c r="D172" s="98"/>
      <c r="E172" s="98"/>
      <c r="F172" s="98"/>
      <c r="G172" s="98"/>
      <c r="H172" s="98"/>
      <c r="I172" s="98"/>
      <c r="J172" s="98"/>
    </row>
    <row r="174" spans="2:10" ht="12" customHeight="1" x14ac:dyDescent="0.2">
      <c r="B174" s="34" t="s">
        <v>20</v>
      </c>
      <c r="C174" s="109" t="s">
        <v>15</v>
      </c>
      <c r="D174" s="110"/>
      <c r="E174" s="41"/>
    </row>
    <row r="175" spans="2:10" ht="14.25" x14ac:dyDescent="0.2">
      <c r="B175" s="2" t="s">
        <v>32</v>
      </c>
      <c r="C175" s="3">
        <f>COUNTIF(F20:F133,"&gt;=0")-COUNTIF(F20:F133,"&gt;15%")</f>
        <v>8</v>
      </c>
      <c r="D175" s="39">
        <f t="shared" ref="D175:D181" si="5">+C175/$B$138</f>
        <v>7.0175438596491224E-2</v>
      </c>
      <c r="E175" s="35"/>
      <c r="F175" s="9"/>
    </row>
    <row r="176" spans="2:10" ht="14.25" x14ac:dyDescent="0.2">
      <c r="B176" s="2" t="s">
        <v>33</v>
      </c>
      <c r="C176" s="3">
        <f>COUNTIF(F20:F133,"&gt;15%")-COUNTIF(F20:F133,"&gt;30%")</f>
        <v>15</v>
      </c>
      <c r="D176" s="39">
        <f t="shared" si="5"/>
        <v>0.13157894736842105</v>
      </c>
      <c r="E176" s="35"/>
      <c r="F176" s="9"/>
    </row>
    <row r="177" spans="2:10" ht="14.25" x14ac:dyDescent="0.2">
      <c r="B177" s="2" t="s">
        <v>34</v>
      </c>
      <c r="C177" s="3">
        <f>COUNTIF(F20:F133,"&gt;30%")-COUNTIF(F20:F133,"&gt;45%")</f>
        <v>24</v>
      </c>
      <c r="D177" s="39">
        <f t="shared" si="5"/>
        <v>0.21052631578947367</v>
      </c>
      <c r="E177" s="35"/>
      <c r="F177" s="9"/>
    </row>
    <row r="178" spans="2:10" ht="14.25" x14ac:dyDescent="0.2">
      <c r="B178" s="2" t="s">
        <v>35</v>
      </c>
      <c r="C178" s="3">
        <f>COUNTIF(F20:F133,"&gt;45%")-COUNTIF(F20:F133,"&gt;60%")</f>
        <v>22</v>
      </c>
      <c r="D178" s="39">
        <f t="shared" si="5"/>
        <v>0.19298245614035087</v>
      </c>
      <c r="E178" s="35"/>
      <c r="F178" s="9"/>
    </row>
    <row r="179" spans="2:10" ht="14.25" x14ac:dyDescent="0.2">
      <c r="B179" s="2" t="s">
        <v>36</v>
      </c>
      <c r="C179" s="3">
        <f>COUNTIF(F20:F133,"&gt;60%")-COUNTIF(F20:F133,"&gt;75%")</f>
        <v>31</v>
      </c>
      <c r="D179" s="39">
        <f t="shared" si="5"/>
        <v>0.27192982456140352</v>
      </c>
      <c r="E179" s="35"/>
      <c r="F179" s="9"/>
    </row>
    <row r="180" spans="2:10" ht="14.25" x14ac:dyDescent="0.2">
      <c r="B180" s="2" t="s">
        <v>37</v>
      </c>
      <c r="C180" s="3">
        <f>COUNTIF(F20:F133,"&gt;75%")-COUNTIF(F20:F133,"&gt;90%")</f>
        <v>11</v>
      </c>
      <c r="D180" s="39">
        <f t="shared" si="5"/>
        <v>9.6491228070175433E-2</v>
      </c>
      <c r="E180" s="35"/>
      <c r="F180" s="9"/>
    </row>
    <row r="181" spans="2:10" ht="14.25" x14ac:dyDescent="0.2">
      <c r="B181" s="2" t="s">
        <v>38</v>
      </c>
      <c r="C181" s="3">
        <f>COUNTIF(F20:F133,"&gt;90%")</f>
        <v>3</v>
      </c>
      <c r="D181" s="39">
        <f t="shared" si="5"/>
        <v>2.6315789473684209E-2</v>
      </c>
      <c r="E181" s="35"/>
      <c r="F181" s="9"/>
    </row>
    <row r="182" spans="2:10" ht="14.25" x14ac:dyDescent="0.2">
      <c r="B182" s="33" t="s">
        <v>14</v>
      </c>
      <c r="C182" s="6">
        <f>SUM(C175:C181)</f>
        <v>114</v>
      </c>
      <c r="D182" s="40">
        <f>SUM(D175:D181)</f>
        <v>0.99999999999999978</v>
      </c>
      <c r="E182" s="36"/>
      <c r="F182" s="46"/>
    </row>
    <row r="187" spans="2:10" ht="36" customHeight="1" x14ac:dyDescent="0.2">
      <c r="B187" s="98" t="s">
        <v>66</v>
      </c>
      <c r="C187" s="98"/>
      <c r="D187" s="98"/>
      <c r="E187" s="98"/>
      <c r="F187" s="98"/>
      <c r="G187" s="98"/>
      <c r="H187" s="98"/>
      <c r="I187" s="98"/>
      <c r="J187" s="98"/>
    </row>
    <row r="189" spans="2:10" ht="12" customHeight="1" x14ac:dyDescent="0.2">
      <c r="B189" s="34" t="s">
        <v>20</v>
      </c>
      <c r="C189" s="111" t="s">
        <v>15</v>
      </c>
      <c r="D189" s="111"/>
      <c r="E189" s="42"/>
    </row>
    <row r="190" spans="2:10" ht="14.25" x14ac:dyDescent="0.2">
      <c r="B190" s="2" t="s">
        <v>29</v>
      </c>
      <c r="C190" s="3">
        <f>COUNTIF(G20:G133,"&lt;0")</f>
        <v>0</v>
      </c>
      <c r="D190" s="4">
        <f>+C190/$B$138</f>
        <v>0</v>
      </c>
      <c r="E190" s="10"/>
    </row>
    <row r="191" spans="2:10" ht="14.25" x14ac:dyDescent="0.2">
      <c r="B191" s="2" t="s">
        <v>30</v>
      </c>
      <c r="C191" s="3">
        <f>COUNTIF(G20:G133,"=0")</f>
        <v>0</v>
      </c>
      <c r="D191" s="4">
        <f>+C191/$B$138</f>
        <v>0</v>
      </c>
      <c r="E191" s="10"/>
    </row>
    <row r="192" spans="2:10" ht="14.25" x14ac:dyDescent="0.2">
      <c r="B192" s="2" t="s">
        <v>39</v>
      </c>
      <c r="C192" s="3">
        <f>COUNTIF(G20:G133,"&gt;0")-COUNTIF(G20:G133,"&gt;10000000")</f>
        <v>40</v>
      </c>
      <c r="D192" s="4">
        <f>+C192/$B$138</f>
        <v>0.35087719298245612</v>
      </c>
      <c r="E192" s="10"/>
    </row>
    <row r="193" spans="2:10" ht="14.25" x14ac:dyDescent="0.2">
      <c r="B193" s="2" t="s">
        <v>40</v>
      </c>
      <c r="C193" s="3">
        <f>COUNTIF(G20:G133,"&gt;10000000")-COUNTIF(G20:G133,"&gt;100000000")</f>
        <v>64</v>
      </c>
      <c r="D193" s="4">
        <f>+C193/$B$138</f>
        <v>0.56140350877192979</v>
      </c>
      <c r="E193" s="10"/>
    </row>
    <row r="194" spans="2:10" ht="14.25" x14ac:dyDescent="0.2">
      <c r="B194" s="2" t="s">
        <v>41</v>
      </c>
      <c r="C194" s="3">
        <f>COUNTIF(G20:G133,"&gt;100000000")</f>
        <v>10</v>
      </c>
      <c r="D194" s="4">
        <f>+C194/$B$138</f>
        <v>8.771929824561403E-2</v>
      </c>
      <c r="E194" s="10"/>
    </row>
    <row r="195" spans="2:10" ht="14.25" x14ac:dyDescent="0.2">
      <c r="B195" s="33" t="s">
        <v>14</v>
      </c>
      <c r="C195" s="6">
        <f>SUM(C190:C194)</f>
        <v>114</v>
      </c>
      <c r="D195" s="7">
        <f>SUM(D190:D194)</f>
        <v>1</v>
      </c>
      <c r="E195" s="8"/>
    </row>
    <row r="200" spans="2:10" ht="36" customHeight="1" x14ac:dyDescent="0.2">
      <c r="B200" s="98" t="s">
        <v>67</v>
      </c>
      <c r="C200" s="98"/>
      <c r="D200" s="98"/>
      <c r="E200" s="98"/>
      <c r="F200" s="98"/>
      <c r="G200" s="98"/>
      <c r="H200" s="98"/>
      <c r="I200" s="98"/>
      <c r="J200" s="98"/>
    </row>
    <row r="202" spans="2:10" ht="12" customHeight="1" x14ac:dyDescent="0.2">
      <c r="B202" s="34" t="s">
        <v>20</v>
      </c>
      <c r="C202" s="99" t="s">
        <v>15</v>
      </c>
      <c r="D202" s="99"/>
      <c r="E202" s="43"/>
    </row>
    <row r="203" spans="2:10" ht="14.25" x14ac:dyDescent="0.2">
      <c r="B203" s="2" t="s">
        <v>42</v>
      </c>
      <c r="C203" s="3">
        <f>COUNTIF(J20:J133,"=0")</f>
        <v>0</v>
      </c>
      <c r="D203" s="4">
        <f t="shared" ref="D203:D209" si="6">+C203/$B$138</f>
        <v>0</v>
      </c>
      <c r="E203" s="10"/>
    </row>
    <row r="204" spans="2:10" ht="14.25" x14ac:dyDescent="0.2">
      <c r="B204" s="2" t="s">
        <v>29</v>
      </c>
      <c r="C204" s="3">
        <f>COUNTIF(J20:J133,"&lt;0")</f>
        <v>0</v>
      </c>
      <c r="D204" s="4">
        <f t="shared" si="6"/>
        <v>0</v>
      </c>
      <c r="E204" s="10"/>
    </row>
    <row r="205" spans="2:10" ht="14.25" x14ac:dyDescent="0.2">
      <c r="B205" s="2" t="s">
        <v>25</v>
      </c>
      <c r="C205" s="3">
        <f>COUNTIF(J20:J133,"&gt;0")-COUNTIF(J20:J133,"&gt;1")</f>
        <v>15</v>
      </c>
      <c r="D205" s="4">
        <f t="shared" si="6"/>
        <v>0.13157894736842105</v>
      </c>
      <c r="E205" s="10"/>
    </row>
    <row r="206" spans="2:10" ht="14.25" x14ac:dyDescent="0.2">
      <c r="B206" s="2" t="s">
        <v>26</v>
      </c>
      <c r="C206" s="3">
        <f>COUNTIF(J20:J133,"&gt;1")-COUNTIF(J20:J133,"&gt;2")</f>
        <v>21</v>
      </c>
      <c r="D206" s="4">
        <f t="shared" si="6"/>
        <v>0.18421052631578946</v>
      </c>
      <c r="E206" s="10"/>
    </row>
    <row r="207" spans="2:10" ht="14.25" x14ac:dyDescent="0.2">
      <c r="B207" s="2" t="s">
        <v>43</v>
      </c>
      <c r="C207" s="3">
        <f>COUNTIF(J20:J133,"&gt;2")-COUNTIF(J20:J133,"&gt;4")</f>
        <v>18</v>
      </c>
      <c r="D207" s="4">
        <f t="shared" si="6"/>
        <v>0.15789473684210525</v>
      </c>
      <c r="E207" s="10"/>
    </row>
    <row r="208" spans="2:10" ht="14.25" x14ac:dyDescent="0.2">
      <c r="B208" s="2" t="s">
        <v>44</v>
      </c>
      <c r="C208" s="3">
        <f>COUNTIF(J20:J133,"&gt;4")-COUNTIF(J20:J133,"&gt;6")</f>
        <v>6</v>
      </c>
      <c r="D208" s="4">
        <f t="shared" si="6"/>
        <v>5.2631578947368418E-2</v>
      </c>
      <c r="E208" s="10"/>
    </row>
    <row r="209" spans="2:10" ht="14.25" x14ac:dyDescent="0.2">
      <c r="B209" s="2" t="s">
        <v>45</v>
      </c>
      <c r="C209" s="3">
        <f>COUNTIF(J20:J133,"&gt;6")+COUNTBLANK(J20:J133)</f>
        <v>54</v>
      </c>
      <c r="D209" s="4">
        <f t="shared" si="6"/>
        <v>0.47368421052631576</v>
      </c>
      <c r="E209" s="10"/>
    </row>
    <row r="210" spans="2:10" ht="14.25" x14ac:dyDescent="0.2">
      <c r="B210" s="33" t="s">
        <v>14</v>
      </c>
      <c r="C210" s="6">
        <f>SUM(C203:C209)</f>
        <v>114</v>
      </c>
      <c r="D210" s="7">
        <f>SUM(D203:D209)</f>
        <v>1</v>
      </c>
      <c r="E210" s="8"/>
    </row>
    <row r="214" spans="2:10" ht="36" customHeight="1" x14ac:dyDescent="0.2">
      <c r="B214" s="98" t="s">
        <v>68</v>
      </c>
      <c r="C214" s="98"/>
      <c r="D214" s="98"/>
      <c r="E214" s="98"/>
      <c r="F214" s="98"/>
      <c r="G214" s="98"/>
      <c r="H214" s="98"/>
      <c r="I214" s="98"/>
      <c r="J214" s="98"/>
    </row>
    <row r="216" spans="2:10" ht="14.25" x14ac:dyDescent="0.2">
      <c r="B216" s="34" t="s">
        <v>20</v>
      </c>
      <c r="C216" s="114" t="s">
        <v>15</v>
      </c>
      <c r="D216" s="114"/>
      <c r="E216" s="38"/>
    </row>
    <row r="217" spans="2:10" ht="14.25" x14ac:dyDescent="0.2">
      <c r="B217" s="2" t="s">
        <v>29</v>
      </c>
      <c r="C217" s="3">
        <f>COUNTIF(H20:H133,"&lt;0%")</f>
        <v>0</v>
      </c>
      <c r="D217" s="4">
        <f t="shared" ref="D217:D223" si="7">+C217/$B$138</f>
        <v>0</v>
      </c>
      <c r="E217" s="35"/>
    </row>
    <row r="218" spans="2:10" ht="14.25" x14ac:dyDescent="0.2">
      <c r="B218" s="2" t="s">
        <v>30</v>
      </c>
      <c r="C218" s="3">
        <f>COUNTIF(H20:H133,"=0%")</f>
        <v>0</v>
      </c>
      <c r="D218" s="4">
        <f t="shared" si="7"/>
        <v>0</v>
      </c>
      <c r="E218" s="35"/>
    </row>
    <row r="219" spans="2:10" ht="14.25" x14ac:dyDescent="0.2">
      <c r="B219" s="2" t="s">
        <v>25</v>
      </c>
      <c r="C219" s="3">
        <f>COUNTIF(H20:H133,"&gt;0%")-COUNTIF(H20:H133,"&gt;1%")</f>
        <v>0</v>
      </c>
      <c r="D219" s="4">
        <f t="shared" si="7"/>
        <v>0</v>
      </c>
      <c r="E219" s="35"/>
    </row>
    <row r="220" spans="2:10" ht="14.25" x14ac:dyDescent="0.2">
      <c r="B220" s="2" t="s">
        <v>26</v>
      </c>
      <c r="C220" s="3">
        <f>COUNTIF(H20:H133,"&gt;1%")-COUNTIF(H20:H133,"&gt;2%")</f>
        <v>4</v>
      </c>
      <c r="D220" s="4">
        <f t="shared" si="7"/>
        <v>3.5087719298245612E-2</v>
      </c>
      <c r="E220" s="35"/>
    </row>
    <row r="221" spans="2:10" ht="14.25" x14ac:dyDescent="0.2">
      <c r="B221" s="2" t="s">
        <v>47</v>
      </c>
      <c r="C221" s="3">
        <f>COUNTIF(H20:H133,"&gt;2%")-COUNTIF(H20:H133,"&gt;3%")</f>
        <v>7</v>
      </c>
      <c r="D221" s="4">
        <f t="shared" si="7"/>
        <v>6.1403508771929821E-2</v>
      </c>
      <c r="E221" s="35"/>
    </row>
    <row r="222" spans="2:10" ht="14.25" x14ac:dyDescent="0.2">
      <c r="B222" s="2" t="s">
        <v>48</v>
      </c>
      <c r="C222" s="3">
        <f>COUNTIF(H20:H133,"&gt;3%")-COUNTIF(H20:H133,"&gt;4%")</f>
        <v>6</v>
      </c>
      <c r="D222" s="4">
        <f t="shared" si="7"/>
        <v>5.2631578947368418E-2</v>
      </c>
      <c r="E222" s="35"/>
    </row>
    <row r="223" spans="2:10" ht="14.25" x14ac:dyDescent="0.2">
      <c r="B223" s="2" t="s">
        <v>49</v>
      </c>
      <c r="C223" s="3">
        <f>COUNTIF(H20:H133,"&gt;4%")</f>
        <v>97</v>
      </c>
      <c r="D223" s="4">
        <f t="shared" si="7"/>
        <v>0.85087719298245612</v>
      </c>
      <c r="E223" s="35"/>
    </row>
    <row r="224" spans="2:10" ht="14.25" x14ac:dyDescent="0.2">
      <c r="B224" s="33" t="s">
        <v>14</v>
      </c>
      <c r="C224" s="6">
        <f>SUM(C217:C223)</f>
        <v>114</v>
      </c>
      <c r="D224" s="7">
        <f>SUM(D217:D223)</f>
        <v>1</v>
      </c>
      <c r="E224" s="36"/>
    </row>
    <row r="228" spans="2:10" ht="36" customHeight="1" x14ac:dyDescent="0.2">
      <c r="B228" s="115" t="s">
        <v>72</v>
      </c>
      <c r="C228" s="115"/>
      <c r="D228" s="115"/>
      <c r="E228" s="115"/>
      <c r="F228" s="115"/>
      <c r="G228" s="115"/>
      <c r="H228" s="115"/>
      <c r="I228" s="115"/>
      <c r="J228" s="115"/>
    </row>
    <row r="230" spans="2:10" ht="12" customHeight="1" x14ac:dyDescent="0.2">
      <c r="B230" s="34" t="s">
        <v>20</v>
      </c>
      <c r="C230" s="111" t="s">
        <v>15</v>
      </c>
      <c r="D230" s="111"/>
      <c r="E230" s="43"/>
    </row>
    <row r="231" spans="2:10" ht="14.25" x14ac:dyDescent="0.2">
      <c r="B231" s="2" t="s">
        <v>29</v>
      </c>
      <c r="C231" s="3">
        <f>COUNTIF(I20:I133,"&lt;0")</f>
        <v>0</v>
      </c>
      <c r="D231" s="4">
        <f t="shared" ref="D231:D237" si="8">+C231/$B$138</f>
        <v>0</v>
      </c>
      <c r="E231" s="10"/>
    </row>
    <row r="232" spans="2:10" ht="14.25" x14ac:dyDescent="0.2">
      <c r="B232" s="2" t="s">
        <v>30</v>
      </c>
      <c r="C232" s="3">
        <f>COUNTIF(I20:I133,"=0")</f>
        <v>0</v>
      </c>
      <c r="D232" s="4">
        <f t="shared" si="8"/>
        <v>0</v>
      </c>
      <c r="E232" s="10"/>
    </row>
    <row r="233" spans="2:10" ht="14.25" x14ac:dyDescent="0.2">
      <c r="B233" s="2" t="s">
        <v>50</v>
      </c>
      <c r="C233" s="3">
        <f>COUNTIF(I20:I133,"&gt;0%")-COUNTIF(I20:I133,"&gt;2%")</f>
        <v>2</v>
      </c>
      <c r="D233" s="4">
        <f t="shared" si="8"/>
        <v>1.7543859649122806E-2</v>
      </c>
      <c r="E233" s="10"/>
    </row>
    <row r="234" spans="2:10" ht="14.25" x14ac:dyDescent="0.2">
      <c r="B234" s="2" t="s">
        <v>43</v>
      </c>
      <c r="C234" s="3">
        <f>COUNTIF(I20:I133,"&gt;2%")-COUNTIF(I20:I133,"&gt;4%")</f>
        <v>2</v>
      </c>
      <c r="D234" s="4">
        <f t="shared" si="8"/>
        <v>1.7543859649122806E-2</v>
      </c>
      <c r="E234" s="10"/>
    </row>
    <row r="235" spans="2:10" ht="14.25" x14ac:dyDescent="0.2">
      <c r="B235" s="2" t="s">
        <v>44</v>
      </c>
      <c r="C235" s="3">
        <f>COUNTIF(I20:I133,"&gt;4%")-COUNTIF(I20:I133,"&gt;6%")</f>
        <v>4</v>
      </c>
      <c r="D235" s="4">
        <f t="shared" si="8"/>
        <v>3.5087719298245612E-2</v>
      </c>
      <c r="E235" s="10"/>
    </row>
    <row r="236" spans="2:10" ht="14.25" x14ac:dyDescent="0.2">
      <c r="B236" s="2" t="s">
        <v>51</v>
      </c>
      <c r="C236" s="3">
        <f>COUNTIF(I20:I133,"&gt;6%")-COUNTIF(I20:I133,"&gt;8%")</f>
        <v>7</v>
      </c>
      <c r="D236" s="4">
        <f t="shared" si="8"/>
        <v>6.1403508771929821E-2</v>
      </c>
      <c r="E236" s="10"/>
    </row>
    <row r="237" spans="2:10" ht="14.25" x14ac:dyDescent="0.2">
      <c r="B237" s="2" t="s">
        <v>52</v>
      </c>
      <c r="C237" s="3">
        <f>COUNTIF(I20:I133,"&gt;8%")</f>
        <v>99</v>
      </c>
      <c r="D237" s="4">
        <f t="shared" si="8"/>
        <v>0.86842105263157898</v>
      </c>
      <c r="E237" s="10"/>
    </row>
    <row r="238" spans="2:10" ht="14.25" x14ac:dyDescent="0.2">
      <c r="B238" s="33" t="s">
        <v>14</v>
      </c>
      <c r="C238" s="6">
        <f>SUM(C231:C237)</f>
        <v>114</v>
      </c>
      <c r="D238" s="7">
        <f>SUM(D231:D237)</f>
        <v>1</v>
      </c>
      <c r="E238" s="8"/>
    </row>
    <row r="243" spans="1:13" ht="97.5" customHeight="1" x14ac:dyDescent="0.2">
      <c r="A243" s="32" t="s">
        <v>87</v>
      </c>
      <c r="B243" s="69" t="s">
        <v>76</v>
      </c>
      <c r="C243" s="116" t="s">
        <v>53</v>
      </c>
      <c r="D243" s="116"/>
      <c r="E243" s="116"/>
      <c r="F243" s="69" t="s">
        <v>75</v>
      </c>
      <c r="G243" s="69" t="s">
        <v>82</v>
      </c>
      <c r="H243" s="69" t="s">
        <v>77</v>
      </c>
      <c r="I243" s="69" t="s">
        <v>78</v>
      </c>
      <c r="J243" s="69" t="s">
        <v>79</v>
      </c>
      <c r="K243" s="69" t="s">
        <v>80</v>
      </c>
      <c r="L243" s="83" t="s">
        <v>81</v>
      </c>
      <c r="M243" s="83" t="s">
        <v>54</v>
      </c>
    </row>
    <row r="244" spans="1:13" ht="53.25" customHeight="1" x14ac:dyDescent="0.2">
      <c r="B244" s="59"/>
      <c r="C244" s="117"/>
      <c r="D244" s="117"/>
      <c r="E244" s="117"/>
      <c r="F244" s="60"/>
      <c r="G244" s="61"/>
      <c r="H244" s="62"/>
      <c r="I244" s="61"/>
      <c r="J244" s="60"/>
      <c r="K244" s="63"/>
      <c r="L244" s="63"/>
      <c r="M244" s="63"/>
    </row>
    <row r="245" spans="1:13" ht="12.75" thickBot="1" x14ac:dyDescent="0.25"/>
    <row r="246" spans="1:13" ht="37.5" thickTop="1" thickBot="1" x14ac:dyDescent="0.25">
      <c r="B246" s="79"/>
      <c r="C246" s="80"/>
      <c r="D246" s="81" t="s">
        <v>3</v>
      </c>
      <c r="E246" s="81" t="s">
        <v>4</v>
      </c>
      <c r="F246" s="81" t="s">
        <v>5</v>
      </c>
      <c r="G246" s="81" t="s">
        <v>6</v>
      </c>
      <c r="H246" s="81" t="s">
        <v>7</v>
      </c>
      <c r="I246" s="81" t="s">
        <v>8</v>
      </c>
      <c r="J246" s="82" t="s">
        <v>9</v>
      </c>
    </row>
    <row r="247" spans="1:13" ht="25.5" thickTop="1" thickBot="1" x14ac:dyDescent="0.25">
      <c r="A247" s="30" t="s">
        <v>84</v>
      </c>
      <c r="B247" s="112" t="s">
        <v>85</v>
      </c>
      <c r="C247" s="113"/>
      <c r="D247" s="20" t="s">
        <v>217</v>
      </c>
      <c r="E247" s="19" t="s">
        <v>213</v>
      </c>
      <c r="F247" s="19" t="s">
        <v>218</v>
      </c>
      <c r="G247" s="19" t="s">
        <v>214</v>
      </c>
      <c r="H247" s="19" t="s">
        <v>220</v>
      </c>
      <c r="I247" s="19" t="s">
        <v>220</v>
      </c>
      <c r="J247" s="19" t="s">
        <v>219</v>
      </c>
    </row>
    <row r="248" spans="1:13" ht="25.5" customHeight="1" thickTop="1" thickBot="1" x14ac:dyDescent="0.25">
      <c r="B248" s="112" t="s">
        <v>17</v>
      </c>
      <c r="C248" s="113"/>
      <c r="D248" s="47">
        <f>COUNTIF(D20:D136,"&gt;=1,0")/$B$138</f>
        <v>1</v>
      </c>
      <c r="E248" s="48">
        <f>COUNTIF(E20:E136,"&gt;=2139100")/$B$138</f>
        <v>1</v>
      </c>
      <c r="F248" s="48">
        <f>COUNTIF(F20:F136,"&lt;=80%")/$B$138</f>
        <v>0.90350877192982459</v>
      </c>
      <c r="G248" s="72">
        <f>COUNTIF(G20:G136,"&gt;=10610000")/$B$138</f>
        <v>0.6228070175438597</v>
      </c>
      <c r="H248" s="48">
        <f>COUNTIF(H20:H136,"&gt;=0%")/$B$138</f>
        <v>1</v>
      </c>
      <c r="I248" s="48">
        <f>COUNTIF(I20:I136,"&gt;=0%")/$B$138</f>
        <v>1</v>
      </c>
      <c r="J248" s="73">
        <f>(COUNTIF(J20:J133,"&gt;=1")+COUNTBLANK(J20:J133))/$B$138</f>
        <v>0.86842105263157898</v>
      </c>
    </row>
    <row r="249" spans="1:13" ht="12.75" thickTop="1" x14ac:dyDescent="0.2"/>
    <row r="250" spans="1:13" x14ac:dyDescent="0.2">
      <c r="G250" s="44"/>
    </row>
    <row r="251" spans="1:13" x14ac:dyDescent="0.2">
      <c r="G251" s="44"/>
    </row>
    <row r="252" spans="1:13" x14ac:dyDescent="0.2">
      <c r="G252" s="44"/>
    </row>
    <row r="254" spans="1:13" ht="18.75" x14ac:dyDescent="0.2">
      <c r="A254" s="1" t="s">
        <v>18</v>
      </c>
      <c r="B254" s="1" t="s">
        <v>88</v>
      </c>
    </row>
    <row r="255" spans="1:13" ht="18.75" x14ac:dyDescent="0.2">
      <c r="A255" s="1" t="s">
        <v>19</v>
      </c>
      <c r="B255" s="1" t="s">
        <v>89</v>
      </c>
      <c r="C255" s="1"/>
    </row>
    <row r="256" spans="1:13" x14ac:dyDescent="0.2">
      <c r="G256" s="44"/>
    </row>
    <row r="257" spans="5:7" x14ac:dyDescent="0.2">
      <c r="G257" s="44"/>
    </row>
    <row r="258" spans="5:7" x14ac:dyDescent="0.2">
      <c r="G258" s="44"/>
    </row>
    <row r="259" spans="5:7" x14ac:dyDescent="0.2">
      <c r="G259" s="44"/>
    </row>
    <row r="260" spans="5:7" x14ac:dyDescent="0.2">
      <c r="G260" s="44"/>
    </row>
    <row r="261" spans="5:7" x14ac:dyDescent="0.2">
      <c r="G261" s="44"/>
    </row>
    <row r="262" spans="5:7" x14ac:dyDescent="0.2">
      <c r="G262" s="44"/>
    </row>
    <row r="263" spans="5:7" x14ac:dyDescent="0.2">
      <c r="G263" s="44"/>
    </row>
    <row r="264" spans="5:7" x14ac:dyDescent="0.2">
      <c r="E264" s="22">
        <f>+F11</f>
        <v>2139100000</v>
      </c>
      <c r="G264" s="44">
        <f>+H11</f>
        <v>10610000000</v>
      </c>
    </row>
    <row r="265" spans="5:7" x14ac:dyDescent="0.2">
      <c r="G265" s="44"/>
    </row>
    <row r="266" spans="5:7" x14ac:dyDescent="0.2">
      <c r="G266" s="44"/>
    </row>
    <row r="267" spans="5:7" x14ac:dyDescent="0.2">
      <c r="G267" s="44"/>
    </row>
    <row r="268" spans="5:7" x14ac:dyDescent="0.2">
      <c r="G268" s="44"/>
    </row>
    <row r="269" spans="5:7" x14ac:dyDescent="0.2">
      <c r="G269" s="44"/>
    </row>
    <row r="270" spans="5:7" x14ac:dyDescent="0.2">
      <c r="G270" s="44"/>
    </row>
    <row r="271" spans="5:7" x14ac:dyDescent="0.2">
      <c r="G271" s="44"/>
    </row>
    <row r="283" spans="2:3" ht="12.75" thickBot="1" x14ac:dyDescent="0.25"/>
    <row r="284" spans="2:3" ht="12.75" thickTop="1" x14ac:dyDescent="0.2">
      <c r="B284" s="88" t="s">
        <v>215</v>
      </c>
      <c r="C284" s="89" t="s">
        <v>216</v>
      </c>
    </row>
    <row r="285" spans="2:3" x14ac:dyDescent="0.2">
      <c r="B285" s="90">
        <v>2023</v>
      </c>
      <c r="C285" s="91">
        <v>500000000</v>
      </c>
    </row>
    <row r="286" spans="2:3" x14ac:dyDescent="0.2">
      <c r="B286" s="90">
        <v>2024</v>
      </c>
      <c r="C286" s="91">
        <v>9154370698</v>
      </c>
    </row>
    <row r="287" spans="2:3" x14ac:dyDescent="0.2">
      <c r="B287" s="90">
        <v>2025</v>
      </c>
      <c r="C287" s="91">
        <v>10122407760</v>
      </c>
    </row>
    <row r="288" spans="2:3" x14ac:dyDescent="0.2">
      <c r="B288" s="90">
        <v>2026</v>
      </c>
      <c r="C288" s="91">
        <v>6748271840</v>
      </c>
    </row>
    <row r="289" spans="2:3" ht="12.75" thickBot="1" x14ac:dyDescent="0.25">
      <c r="B289" s="92" t="s">
        <v>14</v>
      </c>
      <c r="C289" s="93">
        <f>SUM(C285:C288)</f>
        <v>26525050298</v>
      </c>
    </row>
    <row r="290" spans="2:3" ht="12.75" thickTop="1" x14ac:dyDescent="0.2"/>
    <row r="294" spans="2:3" x14ac:dyDescent="0.2">
      <c r="C294" s="87">
        <f>+C289*40%</f>
        <v>10610020119.200001</v>
      </c>
    </row>
  </sheetData>
  <autoFilter ref="A19:J136" xr:uid="{00000000-0009-0000-0000-000000000000}"/>
  <sortState xmlns:xlrd2="http://schemas.microsoft.com/office/spreadsheetml/2017/richdata2" ref="L20:M132">
    <sortCondition ref="L20:L132"/>
  </sortState>
  <mergeCells count="26">
    <mergeCell ref="B247:C247"/>
    <mergeCell ref="B248:C248"/>
    <mergeCell ref="B214:J214"/>
    <mergeCell ref="C216:D216"/>
    <mergeCell ref="B228:J228"/>
    <mergeCell ref="C230:D230"/>
    <mergeCell ref="C243:E243"/>
    <mergeCell ref="C244:E244"/>
    <mergeCell ref="C202:D202"/>
    <mergeCell ref="C163:D163"/>
    <mergeCell ref="B172:J172"/>
    <mergeCell ref="C174:D174"/>
    <mergeCell ref="B187:J187"/>
    <mergeCell ref="C189:D189"/>
    <mergeCell ref="B200:J200"/>
    <mergeCell ref="A10:H10"/>
    <mergeCell ref="F3:J3"/>
    <mergeCell ref="F4:J4"/>
    <mergeCell ref="F5:J5"/>
    <mergeCell ref="B8:F8"/>
    <mergeCell ref="H8:J8"/>
    <mergeCell ref="A13:J13"/>
    <mergeCell ref="A140:A143"/>
    <mergeCell ref="B146:J146"/>
    <mergeCell ref="C148:D148"/>
    <mergeCell ref="B161:J161"/>
  </mergeCells>
  <pageMargins left="0.70866141732283472" right="0.70866141732283472" top="0.74803149606299213" bottom="0.74803149606299213" header="0.31496062992125984" footer="0.31496062992125984"/>
  <pageSetup scale="42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2495A4-A83F-4A8F-98C8-2EEFFF3E4D26}">
  <dimension ref="B7:B12"/>
  <sheetViews>
    <sheetView workbookViewId="0">
      <selection activeCell="B7" sqref="B7"/>
    </sheetView>
  </sheetViews>
  <sheetFormatPr baseColWidth="10" defaultRowHeight="15" x14ac:dyDescent="0.25"/>
  <cols>
    <col min="2" max="2" width="96.28515625" customWidth="1"/>
  </cols>
  <sheetData>
    <row r="7" spans="2:2" x14ac:dyDescent="0.25">
      <c r="B7" t="s">
        <v>123</v>
      </c>
    </row>
    <row r="8" spans="2:2" x14ac:dyDescent="0.25">
      <c r="B8" t="s">
        <v>130</v>
      </c>
    </row>
    <row r="9" spans="2:2" ht="15.75" customHeight="1" x14ac:dyDescent="0.25">
      <c r="B9" t="s">
        <v>91</v>
      </c>
    </row>
    <row r="10" spans="2:2" x14ac:dyDescent="0.25">
      <c r="B10" t="s">
        <v>163</v>
      </c>
    </row>
    <row r="11" spans="2:2" x14ac:dyDescent="0.25">
      <c r="B11" t="s">
        <v>171</v>
      </c>
    </row>
    <row r="12" spans="2:2" x14ac:dyDescent="0.25">
      <c r="B12" t="s">
        <v>176</v>
      </c>
    </row>
  </sheetData>
  <sortState xmlns:xlrd2="http://schemas.microsoft.com/office/spreadsheetml/2017/richdata2" ref="B7:B120">
    <sortCondition ref="B7:B120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Hoja2</vt:lpstr>
      <vt:lpstr>hoja1!Títulos_a_imprimir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Katherinne Rodriguez Lozano</dc:creator>
  <cp:lastModifiedBy>Henry Oviedo Gongora</cp:lastModifiedBy>
  <cp:lastPrinted>2020-06-26T00:06:40Z</cp:lastPrinted>
  <dcterms:created xsi:type="dcterms:W3CDTF">2018-11-28T12:47:08Z</dcterms:created>
  <dcterms:modified xsi:type="dcterms:W3CDTF">2023-11-23T19:11:34Z</dcterms:modified>
</cp:coreProperties>
</file>