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ser\Desktop\PROYECTO 1656 ULTIMO 15112023\"/>
    </mc:Choice>
  </mc:AlternateContent>
  <xr:revisionPtr revIDLastSave="0" documentId="8_{35B83304-3881-4622-9628-CC8FBD14288F}" xr6:coauthVersionLast="47" xr6:coauthVersionMax="47" xr10:uidLastSave="{00000000-0000-0000-0000-000000000000}"/>
  <bookViews>
    <workbookView xWindow="-120" yWindow="-120" windowWidth="20730" windowHeight="11160" xr2:uid="{00000000-000D-0000-FFFF-FFFF00000000}"/>
  </bookViews>
  <sheets>
    <sheet name="Price List" sheetId="3" r:id="rId1"/>
  </sheets>
  <definedNames>
    <definedName name="_Hlk101301856" localSheetId="0">'Price List'!#REF!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21" i="3" l="1"/>
  <c r="L21" i="3"/>
  <c r="H21" i="3"/>
  <c r="I21" i="3" s="1"/>
  <c r="O21" i="3" s="1"/>
  <c r="L53" i="3"/>
  <c r="M53" i="3" s="1"/>
  <c r="K53" i="3"/>
  <c r="J53" i="3"/>
  <c r="H53" i="3"/>
  <c r="I53" i="3" s="1"/>
  <c r="O53" i="3" s="1"/>
  <c r="M20" i="3"/>
  <c r="K20" i="3"/>
  <c r="O20" i="3" s="1"/>
  <c r="I20" i="3"/>
  <c r="K48" i="3" l="1"/>
  <c r="I48" i="3"/>
  <c r="O48" i="3" s="1"/>
  <c r="M19" i="3"/>
  <c r="K19" i="3"/>
  <c r="I19" i="3"/>
  <c r="O19" i="3" s="1"/>
  <c r="M18" i="3" l="1"/>
  <c r="K18" i="3"/>
  <c r="I18" i="3"/>
  <c r="O18" i="3" l="1"/>
  <c r="L17" i="3"/>
  <c r="M17" i="3" s="1"/>
  <c r="H17" i="3"/>
  <c r="I17" i="3" s="1"/>
  <c r="O17" i="3" l="1"/>
  <c r="M27" i="3"/>
  <c r="I27" i="3"/>
  <c r="K27" i="3"/>
  <c r="M25" i="3"/>
  <c r="K25" i="3"/>
  <c r="I25" i="3"/>
  <c r="K29" i="3"/>
  <c r="I29" i="3"/>
  <c r="O29" i="3" s="1"/>
  <c r="O27" i="3" l="1"/>
  <c r="O25" i="3"/>
  <c r="K23" i="3" l="1"/>
  <c r="I23" i="3"/>
  <c r="O23" i="3" l="1"/>
  <c r="M103" i="3"/>
  <c r="M102" i="3"/>
  <c r="M101" i="3"/>
  <c r="M100" i="3"/>
  <c r="M99" i="3"/>
  <c r="M98" i="3"/>
  <c r="M97" i="3"/>
  <c r="M96" i="3"/>
  <c r="M95" i="3"/>
  <c r="M94" i="3"/>
  <c r="M93" i="3"/>
  <c r="M92" i="3"/>
  <c r="M91" i="3"/>
  <c r="M90" i="3"/>
  <c r="M89" i="3"/>
  <c r="M88" i="3"/>
  <c r="L86" i="3"/>
  <c r="M86" i="3" s="1"/>
  <c r="L85" i="3"/>
  <c r="M85" i="3" s="1"/>
  <c r="H86" i="3"/>
  <c r="H85" i="3"/>
  <c r="H81" i="3"/>
  <c r="H82" i="3"/>
  <c r="J83" i="3"/>
  <c r="K83" i="3" s="1"/>
  <c r="L79" i="3"/>
  <c r="L78" i="3"/>
  <c r="L80" i="3"/>
  <c r="J79" i="3"/>
  <c r="J78" i="3"/>
  <c r="J76" i="3"/>
  <c r="K76" i="3" s="1"/>
  <c r="J80" i="3"/>
  <c r="H80" i="3"/>
  <c r="H79" i="3"/>
  <c r="H78" i="3"/>
  <c r="L77" i="3"/>
  <c r="J77" i="3"/>
  <c r="H77" i="3"/>
  <c r="H76" i="3"/>
  <c r="J75" i="3"/>
  <c r="K75" i="3" s="1"/>
  <c r="H75" i="3"/>
  <c r="H64" i="3"/>
  <c r="J63" i="3"/>
  <c r="J64" i="3"/>
  <c r="J65" i="3"/>
  <c r="L14" i="3"/>
  <c r="M14" i="3" s="1"/>
  <c r="L73" i="3" l="1"/>
  <c r="M73" i="3" s="1"/>
  <c r="H73" i="3"/>
  <c r="M71" i="3"/>
  <c r="K71" i="3"/>
  <c r="H71" i="3"/>
  <c r="I71" i="3" s="1"/>
  <c r="O71" i="3" l="1"/>
  <c r="M70" i="3"/>
  <c r="K70" i="3"/>
  <c r="I70" i="3"/>
  <c r="M69" i="3"/>
  <c r="M68" i="3"/>
  <c r="K69" i="3"/>
  <c r="K68" i="3"/>
  <c r="I69" i="3"/>
  <c r="I68" i="3"/>
  <c r="M67" i="3"/>
  <c r="K67" i="3"/>
  <c r="I67" i="3"/>
  <c r="H66" i="3"/>
  <c r="J66" i="3"/>
  <c r="M66" i="3"/>
  <c r="O70" i="3" l="1"/>
  <c r="O69" i="3"/>
  <c r="O68" i="3"/>
  <c r="O67" i="3"/>
  <c r="K66" i="3"/>
  <c r="I66" i="3"/>
  <c r="L65" i="3"/>
  <c r="M65" i="3" s="1"/>
  <c r="K65" i="3"/>
  <c r="I65" i="3"/>
  <c r="L64" i="3"/>
  <c r="I64" i="3"/>
  <c r="L63" i="3"/>
  <c r="O65" i="3" l="1"/>
  <c r="O66" i="3"/>
  <c r="I61" i="3"/>
  <c r="M64" i="3"/>
  <c r="M63" i="3"/>
  <c r="M61" i="3"/>
  <c r="M60" i="3"/>
  <c r="K64" i="3"/>
  <c r="O64" i="3" s="1"/>
  <c r="K63" i="3"/>
  <c r="K61" i="3"/>
  <c r="K60" i="3"/>
  <c r="I60" i="3"/>
  <c r="M59" i="3"/>
  <c r="K59" i="3"/>
  <c r="I59" i="3"/>
  <c r="O63" i="3" l="1"/>
  <c r="O59" i="3"/>
  <c r="O61" i="3"/>
  <c r="O60" i="3"/>
  <c r="L57" i="3" l="1"/>
  <c r="J57" i="3"/>
  <c r="H57" i="3"/>
  <c r="L55" i="3" l="1"/>
  <c r="M55" i="3" s="1"/>
  <c r="J54" i="3"/>
  <c r="H54" i="3"/>
  <c r="H55" i="3"/>
  <c r="L54" i="3"/>
  <c r="L51" i="3"/>
  <c r="M54" i="3" l="1"/>
  <c r="M51" i="3"/>
  <c r="M45" i="3"/>
  <c r="H52" i="3"/>
  <c r="K50" i="3"/>
  <c r="L43" i="3"/>
  <c r="M43" i="3" s="1"/>
  <c r="H43" i="3"/>
  <c r="L41" i="3"/>
  <c r="J41" i="3"/>
  <c r="L40" i="3"/>
  <c r="M40" i="3" s="1"/>
  <c r="L39" i="3"/>
  <c r="M39" i="3" s="1"/>
  <c r="L38" i="3"/>
  <c r="M38" i="3" s="1"/>
  <c r="L36" i="3"/>
  <c r="L35" i="3"/>
  <c r="M35" i="3" s="1"/>
  <c r="J34" i="3"/>
  <c r="K34" i="3" s="1"/>
  <c r="L32" i="3"/>
  <c r="M32" i="3" s="1"/>
  <c r="H41" i="3"/>
  <c r="H40" i="3"/>
  <c r="H39" i="3"/>
  <c r="H38" i="3"/>
  <c r="H36" i="3"/>
  <c r="H35" i="3"/>
  <c r="H33" i="3"/>
  <c r="H32" i="3"/>
  <c r="L12" i="3" l="1"/>
  <c r="M12" i="3" s="1"/>
  <c r="L9" i="3"/>
  <c r="M9" i="3" s="1"/>
  <c r="L6" i="3"/>
  <c r="M6" i="3" s="1"/>
  <c r="H12" i="3"/>
  <c r="K10" i="3"/>
  <c r="J8" i="3"/>
  <c r="K8" i="3" s="1"/>
  <c r="H9" i="3"/>
  <c r="H7" i="3"/>
  <c r="H6" i="3"/>
  <c r="I6" i="3" s="1"/>
  <c r="M79" i="3" l="1"/>
  <c r="K79" i="3"/>
  <c r="I79" i="3"/>
  <c r="M78" i="3"/>
  <c r="K78" i="3"/>
  <c r="I78" i="3"/>
  <c r="M77" i="3"/>
  <c r="K77" i="3"/>
  <c r="I77" i="3"/>
  <c r="I76" i="3"/>
  <c r="O76" i="3" s="1"/>
  <c r="I75" i="3"/>
  <c r="O75" i="3" s="1"/>
  <c r="M80" i="3"/>
  <c r="K80" i="3"/>
  <c r="I80" i="3"/>
  <c r="I82" i="3"/>
  <c r="O82" i="3" s="1"/>
  <c r="I81" i="3"/>
  <c r="O81" i="3" s="1"/>
  <c r="I100" i="3"/>
  <c r="O100" i="3" s="1"/>
  <c r="I88" i="3"/>
  <c r="O88" i="3" s="1"/>
  <c r="O79" i="3" l="1"/>
  <c r="O80" i="3"/>
  <c r="O78" i="3"/>
  <c r="O77" i="3"/>
  <c r="L104" i="3"/>
  <c r="M41" i="3"/>
  <c r="M36" i="3"/>
  <c r="M30" i="3"/>
  <c r="M57" i="3"/>
  <c r="M104" i="3" l="1"/>
  <c r="K41" i="3" l="1"/>
  <c r="K37" i="3"/>
  <c r="K30" i="3"/>
  <c r="J104" i="3"/>
  <c r="K103" i="3"/>
  <c r="K54" i="3"/>
  <c r="K6" i="3"/>
  <c r="O6" i="3" s="1"/>
  <c r="K57" i="3"/>
  <c r="K104" i="3" l="1"/>
  <c r="H104" i="3" l="1"/>
  <c r="I90" i="3"/>
  <c r="O90" i="3" s="1"/>
  <c r="I91" i="3"/>
  <c r="O91" i="3" s="1"/>
  <c r="I92" i="3"/>
  <c r="O92" i="3" s="1"/>
  <c r="I93" i="3"/>
  <c r="O93" i="3" s="1"/>
  <c r="I94" i="3"/>
  <c r="O94" i="3" s="1"/>
  <c r="I95" i="3"/>
  <c r="O95" i="3" s="1"/>
  <c r="I96" i="3"/>
  <c r="O96" i="3" s="1"/>
  <c r="I97" i="3"/>
  <c r="O97" i="3" s="1"/>
  <c r="I98" i="3"/>
  <c r="O98" i="3" s="1"/>
  <c r="I99" i="3"/>
  <c r="O99" i="3" s="1"/>
  <c r="I101" i="3"/>
  <c r="O101" i="3" s="1"/>
  <c r="I102" i="3"/>
  <c r="O102" i="3" s="1"/>
  <c r="I103" i="3"/>
  <c r="O103" i="3" s="1"/>
  <c r="I89" i="3"/>
  <c r="O89" i="3" s="1"/>
  <c r="I86" i="3"/>
  <c r="O86" i="3" s="1"/>
  <c r="I85" i="3"/>
  <c r="O85" i="3" s="1"/>
  <c r="I73" i="3"/>
  <c r="O73" i="3" s="1"/>
  <c r="I57" i="3"/>
  <c r="O57" i="3" s="1"/>
  <c r="I55" i="3"/>
  <c r="O55" i="3" s="1"/>
  <c r="I54" i="3"/>
  <c r="O54" i="3" s="1"/>
  <c r="I52" i="3"/>
  <c r="O51" i="3" s="1"/>
  <c r="I50" i="3"/>
  <c r="O49" i="3" s="1"/>
  <c r="I46" i="3"/>
  <c r="O46" i="3" s="1"/>
  <c r="I45" i="3"/>
  <c r="O45" i="3" s="1"/>
  <c r="I43" i="3"/>
  <c r="O43" i="3" s="1"/>
  <c r="I41" i="3"/>
  <c r="O41" i="3" s="1"/>
  <c r="I40" i="3"/>
  <c r="O40" i="3" s="1"/>
  <c r="I39" i="3"/>
  <c r="O39" i="3" s="1"/>
  <c r="I38" i="3"/>
  <c r="O38" i="3" s="1"/>
  <c r="I36" i="3"/>
  <c r="O36" i="3" s="1"/>
  <c r="I35" i="3"/>
  <c r="O35" i="3" s="1"/>
  <c r="I33" i="3"/>
  <c r="I32" i="3"/>
  <c r="O32" i="3" s="1"/>
  <c r="I30" i="3"/>
  <c r="O30" i="3" s="1"/>
  <c r="I15" i="3"/>
  <c r="O15" i="3" s="1"/>
  <c r="I14" i="3"/>
  <c r="O14" i="3" s="1"/>
  <c r="I13" i="3"/>
  <c r="O13" i="3" s="1"/>
  <c r="I12" i="3"/>
  <c r="O12" i="3" s="1"/>
  <c r="I9" i="3"/>
  <c r="O9" i="3" s="1"/>
  <c r="I7" i="3"/>
  <c r="O7" i="3" s="1"/>
  <c r="O104" i="3" l="1"/>
  <c r="O108" i="3" s="1"/>
  <c r="I104" i="3"/>
</calcChain>
</file>

<file path=xl/sharedStrings.xml><?xml version="1.0" encoding="utf-8"?>
<sst xmlns="http://schemas.openxmlformats.org/spreadsheetml/2006/main" count="237" uniqueCount="166">
  <si>
    <t>Descripción</t>
  </si>
  <si>
    <t>Cantidad</t>
  </si>
  <si>
    <t>Unidad</t>
  </si>
  <si>
    <t xml:space="preserve">ARTICULOS </t>
  </si>
  <si>
    <t>Nivel</t>
  </si>
  <si>
    <t>Ref. Artículo</t>
  </si>
  <si>
    <t>Código UNSPSC</t>
  </si>
  <si>
    <t>1.1</t>
  </si>
  <si>
    <t>1.2</t>
  </si>
  <si>
    <t>unidades</t>
  </si>
  <si>
    <r>
      <t>Esferos</t>
    </r>
    <r>
      <rPr>
        <b/>
        <sz val="11"/>
        <color theme="1"/>
        <rFont val="Arial"/>
        <family val="2"/>
      </rPr>
      <t xml:space="preserve"> </t>
    </r>
    <r>
      <rPr>
        <sz val="11"/>
        <color theme="1"/>
        <rFont val="Arial"/>
        <family val="2"/>
      </rPr>
      <t>de tinta negra</t>
    </r>
  </si>
  <si>
    <t>meses</t>
  </si>
  <si>
    <t>TALENTO HUMANO</t>
  </si>
  <si>
    <t>2.1</t>
  </si>
  <si>
    <t>3.1</t>
  </si>
  <si>
    <t>3.2</t>
  </si>
  <si>
    <t>3.3</t>
  </si>
  <si>
    <t>2.4</t>
  </si>
  <si>
    <t>2.5</t>
  </si>
  <si>
    <t>4.1</t>
  </si>
  <si>
    <t>5.1</t>
  </si>
  <si>
    <t>5.2</t>
  </si>
  <si>
    <t>Papeleria : fotocopias de formatos de inscripción, entrega de refrigerios, asistencia, impresiones de de informes y demas entregables solicitados en el estudio previo</t>
  </si>
  <si>
    <t>ponderable</t>
  </si>
  <si>
    <t>Insumos   administrativas</t>
  </si>
  <si>
    <t>Agenda 100 páginas, contramarcada, portada en maule impreso a dos tintas y argollada, con 5 separadores y esfero. Los insertos (separadores) en la agenda deben incluir información relacionada a la prevención de violencias, nuevas masculinidades, derechos sexuales y reproductivos, que tenga líneas y direcciones de las entidades y rutas de atención a dónde acudir en casos de violencia intrafamiliar y violencia sexual (en general el contenido de las agendas deberá ser previamente aprobado por el comité técnico de seguimiento)</t>
  </si>
  <si>
    <t>Esfero ecológico impreso a 2 tintas con título del proyecto.</t>
  </si>
  <si>
    <t>Certificación en papel Kimberly cada una con sobre. Con logos institucionales (siguiendo el modelo SDIS: Anexo 8.7. Modelo certificado estrategia de prevención “Entornos protectores y territorios seguros”)</t>
  </si>
  <si>
    <t xml:space="preserve">Componente 2:  Orientación y Asesoría Familiar.
</t>
  </si>
  <si>
    <t xml:space="preserve">
Componente 3: Posicionamiento y promoción del buen trato en jornadas locales.
</t>
  </si>
  <si>
    <t>Componente 4. Investigación.</t>
  </si>
  <si>
    <t xml:space="preserve">CAMPAÑA DIFUSION MEDIOS LOCALES </t>
  </si>
  <si>
    <t xml:space="preserve">unidades </t>
  </si>
  <si>
    <t>Papel kraft 300</t>
  </si>
  <si>
    <t>Bloques didacticos (paquetes) 120 Pzs 50</t>
  </si>
  <si>
    <t>Volantes impresos en Papel Bond. Tamaño 1/2 de carta a cuatro (4) tintas, acabado brillante, impreso a 1 cara</t>
  </si>
  <si>
    <t>Entrega de Diploma y/o Certificados Nivel Básico en papel opalina de 240 gr, tintas 4X0, tamaño carta. Según diseño institucional.</t>
  </si>
  <si>
    <t>Crayola Redonda Jumbo X 28 Unidades.</t>
  </si>
  <si>
    <t>Juego jenga en madera</t>
  </si>
  <si>
    <t>Fichas de inscripcion tamaño carta en papel bond blanco de 90 gr. 4X0, incluido logos 1000</t>
  </si>
  <si>
    <t>Fotocopias b/n, carta y oficio, Fotocopias color, carta y oficio 2050</t>
  </si>
  <si>
    <t xml:space="preserve"> Libros didacticos, juegos de mesa. 200</t>
  </si>
  <si>
    <t xml:space="preserve"> tajalapiz</t>
  </si>
  <si>
    <t>borrador nata grande 120</t>
  </si>
  <si>
    <t>caja de colores grande X 12 unidades 100</t>
  </si>
  <si>
    <t>pelota anti estrés 50</t>
  </si>
  <si>
    <t>Fichas bibliográficas de colores 5 Paquete*100</t>
  </si>
  <si>
    <t>Agenda 100 páginas, contramarcada, portada en maule impreso a dos tintas y argollada, con 5 separadores y esfero. Los insertos (separadores) en la agenda deben incluir información relacionada a la prevención de violencias, nuevas masculinidades, derechos sexuales y reproductivos, que tenga líneas y direcciones de las entidades a dónde acudir en casos de violencia intrafamiliar y violencia sexual y rutas de atención.</t>
  </si>
  <si>
    <t>Certificación en papel Kimberly cada una con sobre.Con logos institucionales</t>
  </si>
  <si>
    <t>Cartilla para colorear con una historia relacionada con los temas del proyecto, portada y contraportada plastificadas a color, tamaño carta, papel Bond 90gr, 10 páginas, impresas por ambos lados a blanco y negro (el diseño estará a cargo del diseñador contratado en el proyecto, el contenido orientado por los profesionales que lideraran los talleres y dicho contenido deberá contar con aprobación por parte del comité técnico de seguimiento). En su portada deberá llevar información del proyecto, caratula trasera con líneas y dirección de las entidades a dónde acudir en casos de violencia intrafamiliar y violencia sexual.</t>
  </si>
  <si>
    <t>Afiches Manejo vertical a ¼ de pliego: 35 cms de ancho x 50 cms largo. Debe incluir la imagen institucional de acuerdo a los parámetros establecidos por la ALCALDÍA LOCAL, en calidad óptima definida por la ALCALDÍA LOCAL</t>
  </si>
  <si>
    <t>1.3</t>
  </si>
  <si>
    <t xml:space="preserve">Pendón 2 x 1.5 mts full color en tela banner con logos de inscripción gratuita y tubos superior e inferior. 
</t>
  </si>
  <si>
    <t xml:space="preserve">Campaña Difusión  Presupuesto global para la difusión del proceso por medios comunitarios e independientes locales, cuñas radiales, prensa escrita 
</t>
  </si>
  <si>
    <t>2.2</t>
  </si>
  <si>
    <t>2.3</t>
  </si>
  <si>
    <t>3.4</t>
  </si>
  <si>
    <t>3.5</t>
  </si>
  <si>
    <t>3.6</t>
  </si>
  <si>
    <t>3.7</t>
  </si>
  <si>
    <t>3.8</t>
  </si>
  <si>
    <t>personas</t>
  </si>
  <si>
    <t>Entrega de juegos de mesa a núcleos familiares integrada por niñas, niños, adolescentes y jóvenes, como: Escaleras y serpientes, Quien quiere hacer prevención, Monopolio (Trueque de la prevención), Imperio de la prevención y Concéntrese, entre otros dependiendo las edades del anexo tecnico.</t>
  </si>
  <si>
    <r>
      <rPr>
        <b/>
        <sz val="11"/>
        <color theme="1"/>
        <rFont val="Arial"/>
        <family val="2"/>
      </rPr>
      <t>Kit 1 (Grupos 1, 2 y 3: 6 a 13 años y 11 meses):</t>
    </r>
    <r>
      <rPr>
        <sz val="11"/>
        <color theme="1"/>
        <rFont val="Arial"/>
        <family val="2"/>
      </rPr>
      <t xml:space="preserve">
Tula Deportiva Material: Poliester - impermeable Color: Conforme al diseño Medidas: 30 x 40 cm Capacidad: Ajustable con tirantes ergonómicos de 2 pulgadas de grosor Estampados: Estampados con Logo tipo institucional en técnica DTG, impresión digital directa a la prenda.</t>
    </r>
  </si>
  <si>
    <r>
      <rPr>
        <b/>
        <sz val="11"/>
        <color theme="1"/>
        <rFont val="Arial"/>
        <family val="2"/>
      </rPr>
      <t>Kit 2 (Grupos 4, 5, 6, 7 y 8: 14 a 17 años y 11 meses):</t>
    </r>
    <r>
      <rPr>
        <sz val="11"/>
        <color theme="1"/>
        <rFont val="Arial"/>
        <family val="2"/>
      </rPr>
      <t xml:space="preserve">
Tula Deportiva Material: Poliester - impermeable Color: Conforme al diseño Medidas: 30 x 40 cm Capacidad: Ajustable con tirantes ergonómicos de 2 pulgadas de grosor Estampados: Estampados con Logo tipo institucional en técnica DTG, impresión digital direc</t>
    </r>
  </si>
  <si>
    <t>Pedagogo (a) Profesional en pedagogía con mínimo 18 meses de experiencia en el desarrollo de procesos pedagógicos y/o artísticos con niños, niñas y adolescentes y sus familias en prevención de violencias.</t>
  </si>
  <si>
    <t>6.1</t>
  </si>
  <si>
    <t>6.4</t>
  </si>
  <si>
    <t>7.1</t>
  </si>
  <si>
    <t>8.1</t>
  </si>
  <si>
    <t>8.2</t>
  </si>
  <si>
    <t>8.3</t>
  </si>
  <si>
    <t>8.4</t>
  </si>
  <si>
    <t>8.5</t>
  </si>
  <si>
    <t>8.6</t>
  </si>
  <si>
    <t>9.1</t>
  </si>
  <si>
    <t>9.2</t>
  </si>
  <si>
    <t>INSUMOS PARA COMPONENTES 1,2 Y 3</t>
  </si>
  <si>
    <t xml:space="preserve">Resma de Papel Bond Carta 100 HOJAS </t>
  </si>
  <si>
    <t>UNID</t>
  </si>
  <si>
    <t>Persona</t>
  </si>
  <si>
    <t>8.7</t>
  </si>
  <si>
    <t>Tiempo</t>
  </si>
  <si>
    <t>persona</t>
  </si>
  <si>
    <t>Transporte: 12 buses cada uno con capacidad para 40 persona. Ida y vuelta  para un total de 480 personas</t>
  </si>
  <si>
    <t xml:space="preserve">B) Línea de acción: Promoción y desarrollo de estrategias, prevención de vulneración de derechos de niños, niñas y adolescentes.TOTAL 500 PERSONAS
</t>
  </si>
  <si>
    <t xml:space="preserve">
Mobiliario Alquiler El mobiliario debe contar con 5 modulos para la atención, con dos (2) sillas secretariales, dos (2) escritorios, dos (2) computador de ecritotio, un (1) telefono, sala de espera con tandem de 4 sillas</t>
  </si>
  <si>
    <t>5.3</t>
  </si>
  <si>
    <t>5.4</t>
  </si>
  <si>
    <t>5.6</t>
  </si>
  <si>
    <t>5.8</t>
  </si>
  <si>
    <t>NO. DE COTIZACIONES</t>
  </si>
  <si>
    <t>PROMEDIO SIMPLE</t>
  </si>
  <si>
    <t>VALOR UNITARIO  INCLUIDO IVA</t>
  </si>
  <si>
    <t>VALOR TOTAL INCLUÍDO IVA</t>
  </si>
  <si>
    <t>VALOR UNITARIO PROMEDIO INCLUIDO IVA</t>
  </si>
  <si>
    <t xml:space="preserve">KIT PARA NIÑOS  Y FAMILIAS TOTAL 
1. Se le entregara un Kit a los niños y niñas de cartillas de colorear innovadora que incluya las actividades de rutinas o hábitos diarios en casa, escuela, trabajo sin distinción de género. (Tema transversal).
2. Kit de familias padres y madres: rutas de atención a mujer, botilito con la línea purpura, cartillas que incluyan temas como derechos sexuales y derechos reproductivos, estereotipos de género, planes de vida y toma de decisiones, autonomía, prevención de la maternidad y paternidad temprana, prevención de infecciones de trasmisión sexual, y redes sociales, promoviendo la apropiación de los conocimientos los adolescentes y jóvenes, que las actividades mencionadas incluya labores del cuidado no son asignadas solamente a las mujeres, sino que también pueden ser realizadas por hombres. (Tema transversal)
</t>
  </si>
  <si>
    <t>Promotora Iniciativa</t>
  </si>
  <si>
    <t>Plegables: Diseño e impresión 1: Manejo vertical: 14 cms de ancho x 20 cms largo. Manejo horizontal: 20 cms de ancho X 14 cms de ancho. En de 115 gramos. Debe incluir la imagen</t>
  </si>
  <si>
    <t>GYD GERENCIA Y DIRECCIÓN DE PROYECTOS SAS NUEVO 2022</t>
  </si>
  <si>
    <t>CO1_OTLCNTNR_463920184_CO1_RPL_2752110- SECOP II 2022</t>
  </si>
  <si>
    <t>FUNDACIÓN PROSPECTIVA - ESTUDIO DE MERCADO FONDO DE DESARROLLO LOCAL MARTIRES FDLM-SAMC-004-2021</t>
  </si>
  <si>
    <t>XIXA- Anexo n. 2 DEFINITIVO ESTUDIO DE MERCADO VIOLENCIA 19082021</t>
  </si>
  <si>
    <t xml:space="preserve"> Lapices Negros </t>
  </si>
  <si>
    <t>EJECUTAR ACCIONES PARA LA PREVENCION Y ATENCION DE LA VIOLENCIA INTRAFAMILIAR Y/O SEXUAL EN LA LOCALIDAD DE RAFAEL URIBE URIBE</t>
  </si>
  <si>
    <t>ESTUDIO DE MERCADO PROYECTO 1656 VIOLENCIA INTRAFAMILIAR Y SEXUAL RUU - 2023</t>
  </si>
  <si>
    <t xml:space="preserve">Espacio Físico con capacidad para 25 personas que cumplan los protocolos de bioseguridad (incluido para cada sesión antibacterial y jabón para lavado frecuente de manos) y de acceso para personas en condición de discapacidad, que cuente con 25 sillas, debe contar con los medios audiovisuales para el correcto desarrollo de las sesiones (video-beam y/o televisor mínimo de 50 pulgadas, el espacio debe contar con baños)- 2 horas mínimo por sesión - Contar con el espacio adecuado para desarrollar las diferentes sensibilizaciones por UPZ)
</t>
  </si>
  <si>
    <t>KIT semana del buen trato
Tula Material: Poliester - impermeable Color: Conforme al diseño Medidas: 30 x 40 cm Capacidad: Ajustable con tirantes ergonómicos de 2 pulgadas de grosor Estampados: Estampados con Logo tipo institucional en técnica DTG, impresión digital directa a la prenda y titulo del proyecto.</t>
  </si>
  <si>
    <t xml:space="preserve">
C) Línea de acción:  Prevención de violencia sexual en niños, niñas y adolescentes con énfasis en derechos sexuales y derechos reproductivos.
</t>
  </si>
  <si>
    <t>PARQUE MUNDO AVENTURA</t>
  </si>
  <si>
    <t>SALITRE MÁGICO
https://www.salitremagico.com.co/categorias/43-medplus/3221-pasaporte-nitro-combo-hamburgesa</t>
  </si>
  <si>
    <t xml:space="preserve">Componente 1: Prevención de violencia Intrafamiliar y violencia sexual, promoción y garantía de derechos. 
A) Línea de acción: Prevención de violencia intrafamiliar y violencia sexual. </t>
  </si>
  <si>
    <t>6.3</t>
  </si>
  <si>
    <t xml:space="preserve">Alquiler de carpas 4 x 4 las cuales seran  en la  instalación definida por el comité técnico e incluye transporte.
</t>
  </si>
  <si>
    <t>Paquetes de Globos R12 Multicolor x 50.</t>
  </si>
  <si>
    <t>paquetes</t>
  </si>
  <si>
    <t>Alquiler de mesas plásticas de cuatro patas, con medidas mínimas de 75x75 cm</t>
  </si>
  <si>
    <t>Suministro de bolsas reutilizables en algodón color beige, estampadas con logo y mensaje. Dimensiones 48 cm (ancho) x 49 (alto).</t>
  </si>
  <si>
    <t xml:space="preserve">Botilos plásticos de colores azul, verde, rojo y amarrillo, con doble tapa, líquidos fríos, de 24.5 cm de alto y 6.8 cm de ancho con capacidad para 22.5 oz </t>
  </si>
  <si>
    <t>Gorras en malla frente blanco para sublimación -Full Color con cierre plástico unicolor.</t>
  </si>
  <si>
    <t xml:space="preserve">Dos (2) obras de teatro, con función mínima de 40 minutos cada una.  Debe desarrollar contenidos temáticos relacionados con la promoción del Buen Trato y la Prevención de Violencias en menores de edad (debe tenerse en cuenta la legislación vigente, Ley 1098 de 2006 Código de Infancia y Adolescencia; Decreto 520 de 2011 Política Pública de Infancia y Adolescencia en Bogotá; Decreto 545 de 2011 Política Pública para las Familias). Mínimo 3 actores con el vestuario, temática y guion incluido. </t>
  </si>
  <si>
    <t>Servicio de Ambulancia básica (10 Horas) con dos paramédicos, en donde se pueda se pueda prestar la atención de primero auxilios</t>
  </si>
  <si>
    <t xml:space="preserve">unidad </t>
  </si>
  <si>
    <t>Alquiler de planta eléctrica insonora 25 kva, parcial e corriente de 10 metros, trifásica tierra y un neutro. (Equipo utilizado para generar la energía necesaria para el tomo mecánico, sonido e implementos). El servicio se debe prestar por 8 horas con operario incluido. Adicionalmente se debe suministrar (2) extensiones de mínimo 100 metros, con multitomas para conectar los equipos necesarios en el desarrollo del evento y se debe contemplar costos necesarios para el debido funcionamiento(combustible). Incluye trasporte.</t>
  </si>
  <si>
    <t xml:space="preserve">Show de danza de más de 4 integrantes, reconocimiento para artistas de la localidad </t>
  </si>
  <si>
    <t xml:space="preserve">Show de música, reconocimiento encaminado para artes musicales de la localidad (papayera, batucada, dúo  entre otros)
</t>
  </si>
  <si>
    <t xml:space="preserve">Servicio de alquiler de sonido Básico el cual debe incluir como mínimo:  2 cabinas pasivas de 1500 watts doble parlante de 15 pulgadas y drive de 2 pulgadas amplificación QSC.
 2 bajos auto amplificadas de 18 pulgadas de 1500 watts.
 1 micrófono inalámbrico con su base respectiva, base y transmisor con antenas.
 2 micrófonos alámbricos.
 2 bases para micrófono con su respectiva piaña.
 1 consola de 16 canales.  
NOTA: El servicio incluye operador de audio, unidad reproductora para DVD/CD/MP3/MP4, 
extensiones para garantizar el servicio, cables de audio, Carpa 3*3 y transporte en Bogotá.
</t>
  </si>
  <si>
    <t xml:space="preserve">Coordinador General del Proyecto Profesional de las Ciencias Sociales o administrativas con especialización en núcleo básico de Ciencias Sociales o Humanas. Experiencia mínima profesional de 36 meses en coordinación y ejecución de procesos sociales y/o cargos de nivel directivo o gerencial con población afectada por violencia intrafamiliar y/o sexual en situación de vulnerabilidad
</t>
  </si>
  <si>
    <t xml:space="preserve">Asistente administrativo  Título de bachiller con 12 meses de experiencia laboral en actividades de secretariado o archivo o manejo de bases de datos.
</t>
  </si>
  <si>
    <t xml:space="preserve">Psicólogo/a Psicólogo/a de acuerdo con el criterio técnico. Profesional en psicología     con     título     de postgrado     en     familia, o psicoterapia       familiar, o psicología clínica o terapia familiar o consultoría en familia, o violencia intrafamiliar, con experiencia mínima de 12 meses en atención a familias afectadas por violencias o poblaciones vulnerables.
</t>
  </si>
  <si>
    <t xml:space="preserve">Trabajador(a) Social Trabajador/a Social con mínimo 15 Meses de experiencia en asesoría a familias en situación de violencia Intrafamiliar y temas de salud o enfoque de género o derechos sexuales y derechos reproductivos, o educación sexual o prevención de maternidad y paternidad temprana
</t>
  </si>
  <si>
    <t xml:space="preserve">Diseñador(a) Profesional en diseño gráfico con 18 meses de experiencia en producción de material comunicativo.
Nota: Debe contar con los elementos técnicos y tecnológicos necesarios para desarrollar su labor en el marco del proyecto.
</t>
  </si>
  <si>
    <t>Salida pedagógica a un parque mundo aventura o salitre magico para el núcleo familiar atendido y beneficiado, incluye almuerzo.</t>
  </si>
  <si>
    <t xml:space="preserve">Marcadores gruesos permanentes colores </t>
  </si>
  <si>
    <r>
      <rPr>
        <b/>
        <sz val="10"/>
        <color theme="1"/>
        <rFont val="Verdana"/>
        <family val="2"/>
      </rPr>
      <t>Objeto:</t>
    </r>
    <r>
      <rPr>
        <sz val="10"/>
        <color theme="1"/>
        <rFont val="Verdana"/>
        <family val="2"/>
      </rPr>
      <t xml:space="preserve"> </t>
    </r>
    <r>
      <rPr>
        <b/>
        <sz val="10"/>
        <color theme="1"/>
        <rFont val="Verdana"/>
        <family val="2"/>
      </rPr>
      <t>“EJECUTAR ACCIONES PARA LA PREVENCION Y ATENCION DE LA VIOLENCIA INTRAFAMILIAR Y/O SEXUAL EN LA LOCALIDAD DE RAFAEL URIBE URIBE”</t>
    </r>
  </si>
  <si>
    <t xml:space="preserve">2 Baños: mínimo uno con los implementos de aseo necesarios (toalla para manos, jabón, papel higiénico, papelera).
Inmueble Arrendamiento: Minimo con las siguientes caracteristicas: 5 espacios 3
oficinas 1 recepcion 2 baños, permitir acceso a personas con discapacidad, cada oficina debe contar con 18 MTS2, el area de recepción minimo 16 Mts2, con adecuada Ventilación, iluminación, higiene permanente, elementos de hihiene, libre de humedad, 
goteras y contar con servicios publicos domiciliarios. </t>
  </si>
  <si>
    <r>
      <t xml:space="preserve">
Afiches Afiches tamaño medio de pliego en papel propalcote de 150 gr.  Tamaño ¼ pliego a cuatro tintas full color y policromía, incluido logos. 
</t>
    </r>
    <r>
      <rPr>
        <b/>
        <sz val="11"/>
        <color theme="1"/>
        <rFont val="Arial"/>
        <family val="2"/>
      </rPr>
      <t xml:space="preserve">
</t>
    </r>
  </si>
  <si>
    <t>APOYOS LOGISTICOS Título bachiller. Experiencia laboral general mínima de seis (6) meses Habitantes de la localidad (preferiblemente), cuyas funciones serán apoyar logísticamente a la entidad ejecutora durante la fase de Difusión (Distribución de cartas y pegue de afiches), en la fase Convocatoria e inscripción (Llenar los formularios con letra legible, recepción de los documentos soportes y entregar la información en forma clara y oportuna), (gestionar la logistica de la salida al parque de diversiones). La distribución de los apoyos será, de dos apoyos logísticos por cada UPZ.</t>
  </si>
  <si>
    <t>Placas conmemorativas con el nombre de cada persona, con logos y texto.</t>
  </si>
  <si>
    <t>PLATERIA GONZALO LEGUIZAMÓN C Y CIA LTDA
(acero inoxidable madera de 17 x 13 cms diametro)</t>
  </si>
  <si>
    <t xml:space="preserve"> </t>
  </si>
  <si>
    <t>ANEXO 2 ESTUDIO DE MERCADO BUEN TRATO 2023
(Madera laminada plateada 25 x 20)</t>
  </si>
  <si>
    <t>FDLBU-LP-003-2023 ESTUDIO DE MERCADO BUEN TRATO 2023</t>
  </si>
  <si>
    <t>Alquiler de salón para la ceremonia de los lideres.</t>
  </si>
  <si>
    <t>horas</t>
  </si>
  <si>
    <t>JAC BARRIO DIANA TURBAY</t>
  </si>
  <si>
    <t>JAC BARRIO MURILLO TORO</t>
  </si>
  <si>
    <t>Almuerzo:  Una ( 1 ) proteína animal, de mínimo 150 gr. Una ( 1 ) porción de arroz de 80 gr mínimo. Una ( 1 ) porción de papa y/o plátano y/o yuca de mínimo 60 gr. Una ( 1 ) porción de verdura fría y/o caliente y/o ensalada de mínimo 80 gr. Un ( 1 ) postre. Una ( 1 ) bebida de fruta no alcohólica, no láctea, no energizantes, de mínimo 250 ml.</t>
  </si>
  <si>
    <t>CORSERVICS</t>
  </si>
  <si>
    <t>RED SUMMA</t>
  </si>
  <si>
    <t>FUNDACIÓN EL CLAN-DESTINO</t>
  </si>
  <si>
    <t>Estación de café para 100 pax con galletas, agua, aromática, tinto y menaje desechable con personal de servicio y trasporte incluido. Servicio que se utilizara para el cierre de este componente. El servicio se prestará en el perímetro urbano de Bogotá (9 Horas). *(EL VALOR UNITARIO CORRESPONDE A LA  ESTACIÓN COMPLETA NO AL VALOR POR PERSONA).</t>
  </si>
  <si>
    <t>un idad</t>
  </si>
  <si>
    <t>KIT PARA LIDERES DE LA INICIATIVA (Se deben entregar en la primer sesión de capacitación)</t>
  </si>
  <si>
    <t>LP-012-2022
(ESTUDIO DE MERCADO)</t>
  </si>
  <si>
    <t>FDLBU-LP-003-2023 (ESTUDIOS DE MERCADO)</t>
  </si>
  <si>
    <t xml:space="preserve">Agenda papel ecológico eart pack, Tapa dura con diseño de un tema de la capacitación (se definira en comite ténico), 2 insertos a 4 tintas, Plastificado brillante,100 hojas blancas, Separador.
</t>
  </si>
  <si>
    <t>Gorras marcadas colores varios frente blanco con impresión frontal + diseño</t>
  </si>
  <si>
    <t>CREACIONES FAPI</t>
  </si>
  <si>
    <t>CIA-415-2022 RED SUMMA IPC 2023</t>
  </si>
  <si>
    <t>Esfero ecológico, En plástico reciclado, 14.5 cm Tinta negra, Diseño</t>
  </si>
  <si>
    <t xml:space="preserve">REFRIGERIOS 480 personas  (mañana)
1. Un (1) sándwich de pollo y queso de 240gr aproximadamente con aderezo, que contenga verduras: lechuga y tomate. Una (1) fruta entera de temporada de mínimo 80 gr, una (1) bebida refresco o néctar de fruta, no láctea no energizante, de mínimo 250 ml en envase Tetrapak.
</t>
  </si>
  <si>
    <t xml:space="preserve">REFRIGERIOS 480 personas (tarde)
1. Un (1) sándwich de pollo y queso de 240gr aproximadamente con aderezo, que contenga verduras: lechuga y tomate. Una (1) fruta entera de temporada de mínimo 80 gr, una (1) bebida refresco o néctar de fruta, no láctea no energizante, de mínimo 250 ml en envase Tetrapak.
</t>
  </si>
  <si>
    <t>Cartillas con temática y contenido de los temas de capacitación(Tema iniciativa).
Cartillas Impresas (caracteristicas) Tamaño 14 x 21.5 cm cerrado, 100, páginas, 4 x 4 tintas, cosida con dos anchos al caballete, propalmate 90 grs. Carátula impresa en propalcote 200 grs. 4x4 tintas, plastificado mate por una cara. Requiere diseño, corrección de estilo, diagramación e impresión, alistamiento y la distribución de los libros, de acuerdo con la base de datos suministrada por la ALCALDÍA LOCAL, dentro del perímetro urbano del Distrito Capital. No obstante, los lugares dependerán de las necesidades particulares de la ALCALDÍA LOCAL, sin salir de la ciudad de Bogotá.</t>
  </si>
  <si>
    <t>Mug personalizado y con logos institucionales.</t>
  </si>
  <si>
    <t>Realizar 500 cartillas con temática de valores, trabajo en equipo, perdón, reconciliación, reconocimiento de los errores, amor de la familia, violencia de género, ruta de atención a mujeres víctimas, línea purpura, por un lado en ingles y por el otro en español. 
Cartillas Impresas (caracteristicas) Tamaño 14 x 21.5 cm cerrado, 100, páginas, 4 x 4 tintas, cosida con dos anchos al caballete, propalmate 90 grs. Carátula impresa en propalcote 200 grs. 4x4 tintas, plastificado mate por una cara. Requiere diseño, corrección de estilo, diagramación e impresión, alistamiento y la distribución de los libros, de acuerdo con la base de datos suministrada por la ALCALDÍA LOCAL, dentro del perímetro urbano del Distrito Capital. No obstante, los lugares dependerán de las necesidades particulares de la ALCALDÍA LOCAL, sin salir de la ciudad de Bogotá.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</si>
</sst>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4" formatCode="_-&quot;$&quot;\ * #,##0.00_-;\-&quot;$&quot;\ * #,##0.00_-;_-&quot;$&quot;\ * &quot;-&quot;??_-;_-@_-"/>
    <numFmt numFmtId="43" formatCode="_-* #,##0.00_-;\-* #,##0.00_-;_-* &quot;-&quot;??_-;_-@_-"/>
    <numFmt numFmtId="164" formatCode="&quot;$&quot;\ #,##0"/>
    <numFmt numFmtId="165" formatCode="_-&quot;$&quot;\ * #,##0_-;\-&quot;$&quot;\ * #,##0_-;_-&quot;$&quot;\ * &quot;-&quot;??_-;_-@_-"/>
    <numFmt numFmtId="166" formatCode="_(&quot;$&quot;\ * #,##0_);_(&quot;$&quot;\ * \(#,##0\);_(&quot;$&quot;\ * &quot;-&quot;??_);_(@_)"/>
    <numFmt numFmtId="167" formatCode="_(* #,##0_);_(* \(#,##0\);_(* &quot;-&quot;??_);_(@_)"/>
    <numFmt numFmtId="168" formatCode="_(&quot;$&quot;\ * #,##0.00_);_(&quot;$&quot;\ * \(#,##0.00\);_(&quot;$&quot;\ * &quot;-&quot;??_);_(@_)"/>
  </numFmts>
  <fonts count="30" x14ac:knownFonts="1">
    <font>
      <sz val="11"/>
      <color theme="1"/>
      <name val="Calibri"/>
      <family val="2"/>
      <scheme val="minor"/>
    </font>
    <font>
      <sz val="10"/>
      <color theme="1"/>
      <name val="Verdana"/>
      <family val="2"/>
    </font>
    <font>
      <b/>
      <sz val="14"/>
      <color theme="1"/>
      <name val="Verdana"/>
      <family val="2"/>
    </font>
    <font>
      <b/>
      <sz val="10"/>
      <color theme="1"/>
      <name val="Verdana"/>
      <family val="2"/>
    </font>
    <font>
      <sz val="11"/>
      <color theme="1"/>
      <name val="Arial"/>
      <family val="2"/>
    </font>
    <font>
      <b/>
      <sz val="11"/>
      <color theme="1"/>
      <name val="Arial"/>
      <family val="2"/>
    </font>
    <font>
      <sz val="8"/>
      <name val="Calibri"/>
      <family val="2"/>
      <scheme val="minor"/>
    </font>
    <font>
      <sz val="11"/>
      <color rgb="FF000000"/>
      <name val="Arial"/>
      <family val="2"/>
    </font>
    <font>
      <sz val="11"/>
      <color theme="1"/>
      <name val="Calibri"/>
      <family val="2"/>
      <scheme val="minor"/>
    </font>
    <font>
      <b/>
      <sz val="14"/>
      <color theme="1"/>
      <name val="Arial"/>
      <family val="2"/>
    </font>
    <font>
      <b/>
      <sz val="14"/>
      <color theme="1"/>
      <name val="Calibri"/>
      <family val="2"/>
      <scheme val="minor"/>
    </font>
    <font>
      <b/>
      <sz val="8"/>
      <name val="Arial"/>
      <family val="2"/>
    </font>
    <font>
      <b/>
      <sz val="8"/>
      <color theme="1"/>
      <name val="Arial"/>
      <family val="2"/>
    </font>
    <font>
      <b/>
      <sz val="12"/>
      <color theme="1"/>
      <name val="Verdana"/>
      <family val="2"/>
    </font>
    <font>
      <b/>
      <sz val="10"/>
      <color theme="1"/>
      <name val="Arial"/>
      <family val="2"/>
    </font>
    <font>
      <b/>
      <sz val="10"/>
      <color rgb="FF000000"/>
      <name val="Arial"/>
      <family val="2"/>
    </font>
    <font>
      <sz val="10"/>
      <color theme="1"/>
      <name val="Calibri"/>
      <family val="2"/>
      <scheme val="minor"/>
    </font>
    <font>
      <b/>
      <sz val="10"/>
      <color theme="1"/>
      <name val="Calibri"/>
      <family val="2"/>
      <scheme val="minor"/>
    </font>
    <font>
      <sz val="13"/>
      <color rgb="FF000000"/>
      <name val="Garamond"/>
      <family val="1"/>
    </font>
    <font>
      <b/>
      <sz val="13"/>
      <color theme="1"/>
      <name val="Garamond"/>
      <family val="1"/>
    </font>
    <font>
      <sz val="13"/>
      <color theme="1"/>
      <name val="Garamond"/>
      <family val="1"/>
    </font>
    <font>
      <b/>
      <sz val="12"/>
      <color theme="1"/>
      <name val="Garamond"/>
      <family val="1"/>
    </font>
    <font>
      <b/>
      <sz val="11"/>
      <color theme="1"/>
      <name val="Calibri"/>
      <family val="2"/>
      <scheme val="minor"/>
    </font>
    <font>
      <u/>
      <sz val="11"/>
      <color theme="10"/>
      <name val="Calibri"/>
      <family val="2"/>
      <scheme val="minor"/>
    </font>
    <font>
      <sz val="11"/>
      <name val="Garamond"/>
      <family val="1"/>
    </font>
    <font>
      <sz val="10"/>
      <color rgb="FF000000"/>
      <name val="Arial"/>
      <family val="2"/>
    </font>
    <font>
      <sz val="10"/>
      <name val="Arial"/>
      <family val="2"/>
    </font>
    <font>
      <u/>
      <sz val="10"/>
      <color theme="10"/>
      <name val="Arial"/>
      <family val="2"/>
    </font>
    <font>
      <sz val="10"/>
      <color theme="1"/>
      <name val="Arial"/>
      <family val="2"/>
    </font>
    <font>
      <sz val="11"/>
      <color rgb="FFFF0000"/>
      <name val="Arial"/>
      <family val="2"/>
    </font>
  </fonts>
  <fills count="1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theme="0"/>
        <bgColor indexed="64"/>
      </patternFill>
    </fill>
    <fill>
      <patternFill patternType="solid">
        <fgColor theme="9" tint="0.39997558519241921"/>
        <bgColor indexed="64"/>
      </patternFill>
    </fill>
    <fill>
      <patternFill patternType="solid">
        <fgColor theme="6" tint="0.79998168889431442"/>
        <bgColor indexed="64"/>
      </patternFill>
    </fill>
    <fill>
      <patternFill patternType="solid">
        <fgColor theme="5" tint="-0.249977111117893"/>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5" tint="0.59999389629810485"/>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diagonal/>
    </border>
  </borders>
  <cellStyleXfs count="57">
    <xf numFmtId="0" fontId="0" fillId="0" borderId="0"/>
    <xf numFmtId="0" fontId="2" fillId="2" borderId="1" applyNumberFormat="0" applyProtection="0">
      <alignment horizontal="left" vertical="center"/>
    </xf>
    <xf numFmtId="0" fontId="3" fillId="3" borderId="0" applyNumberFormat="0" applyBorder="0" applyProtection="0">
      <alignment horizontal="center" vertical="center"/>
    </xf>
    <xf numFmtId="3" fontId="1" fillId="0" borderId="0" applyFill="0" applyBorder="0" applyProtection="0">
      <alignment horizontal="right" vertical="center"/>
    </xf>
    <xf numFmtId="49" fontId="1" fillId="0" borderId="0" applyFill="0" applyBorder="0" applyProtection="0">
      <alignment horizontal="left" vertical="center"/>
    </xf>
    <xf numFmtId="44" fontId="8" fillId="0" borderId="0" applyFont="0" applyFill="0" applyBorder="0" applyAlignment="0" applyProtection="0"/>
    <xf numFmtId="42"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2" fontId="8" fillId="0" borderId="0" applyFon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43" fontId="8" fillId="0" borderId="0" applyFont="0" applyFill="0" applyBorder="0" applyAlignment="0" applyProtection="0"/>
    <xf numFmtId="0" fontId="25" fillId="0" borderId="0"/>
    <xf numFmtId="42" fontId="8" fillId="0" borderId="0" applyFont="0" applyFill="0" applyBorder="0" applyAlignment="0" applyProtection="0"/>
    <xf numFmtId="0" fontId="26" fillId="0" borderId="0"/>
    <xf numFmtId="0" fontId="8" fillId="0" borderId="0"/>
    <xf numFmtId="44" fontId="8" fillId="0" borderId="0" applyFont="0" applyFill="0" applyBorder="0" applyAlignment="0" applyProtection="0"/>
    <xf numFmtId="42" fontId="8" fillId="0" borderId="0" applyFont="0" applyFill="0" applyBorder="0" applyAlignment="0" applyProtection="0"/>
    <xf numFmtId="42"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0" fontId="27" fillId="0" borderId="0" applyNumberFormat="0" applyFill="0" applyBorder="0" applyAlignment="0" applyProtection="0"/>
    <xf numFmtId="43" fontId="25" fillId="0" borderId="0" applyFont="0" applyFill="0" applyBorder="0" applyAlignment="0" applyProtection="0"/>
    <xf numFmtId="0" fontId="25" fillId="0" borderId="0"/>
    <xf numFmtId="0" fontId="27" fillId="0" borderId="0" applyNumberFormat="0" applyFill="0" applyBorder="0" applyAlignment="0" applyProtection="0"/>
    <xf numFmtId="44" fontId="8" fillId="0" borderId="0" applyFont="0" applyFill="0" applyBorder="0" applyAlignment="0" applyProtection="0"/>
    <xf numFmtId="0" fontId="8" fillId="0" borderId="0" applyFill="0"/>
    <xf numFmtId="168" fontId="2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2"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2" fontId="8" fillId="0" borderId="0" applyFont="0" applyFill="0" applyBorder="0" applyAlignment="0" applyProtection="0"/>
    <xf numFmtId="44" fontId="8" fillId="0" borderId="0" applyFont="0" applyFill="0" applyBorder="0" applyAlignment="0" applyProtection="0"/>
    <xf numFmtId="42" fontId="8" fillId="0" borderId="0" applyFont="0" applyFill="0" applyBorder="0" applyAlignment="0" applyProtection="0"/>
    <xf numFmtId="42"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3" fontId="25"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2" fontId="8" fillId="0" borderId="0" applyFont="0" applyFill="0" applyBorder="0" applyAlignment="0" applyProtection="0"/>
  </cellStyleXfs>
  <cellXfs count="183">
    <xf numFmtId="0" fontId="0" fillId="0" borderId="0" xfId="0"/>
    <xf numFmtId="0" fontId="1" fillId="0" borderId="0" xfId="0" applyFont="1" applyAlignment="1">
      <alignment vertical="center" wrapText="1"/>
    </xf>
    <xf numFmtId="0" fontId="3" fillId="0" borderId="0" xfId="0" applyFont="1" applyAlignment="1">
      <alignment vertical="center" wrapText="1"/>
    </xf>
    <xf numFmtId="0" fontId="1" fillId="0" borderId="0" xfId="0" applyFont="1" applyAlignment="1" applyProtection="1">
      <alignment horizontal="center" vertical="center" wrapText="1"/>
      <protection locked="0"/>
    </xf>
    <xf numFmtId="0" fontId="1" fillId="0" borderId="0" xfId="0" applyFont="1" applyAlignment="1" applyProtection="1">
      <alignment vertical="center" wrapText="1"/>
      <protection locked="0"/>
    </xf>
    <xf numFmtId="0" fontId="1" fillId="0" borderId="0" xfId="0" applyFont="1" applyAlignment="1" applyProtection="1">
      <alignment horizontal="right" vertical="center" wrapText="1"/>
      <protection locked="0"/>
    </xf>
    <xf numFmtId="0" fontId="1" fillId="0" borderId="1" xfId="0" applyFont="1" applyBorder="1" applyAlignment="1" applyProtection="1">
      <alignment vertical="center" wrapText="1"/>
      <protection locked="0"/>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4" fillId="0" borderId="1" xfId="0" applyFont="1" applyBorder="1" applyAlignment="1">
      <alignment horizontal="left" vertical="center" wrapText="1"/>
    </xf>
    <xf numFmtId="0" fontId="3" fillId="5" borderId="0" xfId="0" applyFont="1" applyFill="1" applyAlignment="1">
      <alignment vertical="center" wrapText="1"/>
    </xf>
    <xf numFmtId="0" fontId="3" fillId="5" borderId="2" xfId="0" applyFont="1" applyFill="1" applyBorder="1" applyAlignment="1" applyProtection="1">
      <alignment vertical="center" wrapText="1"/>
      <protection locked="0"/>
    </xf>
    <xf numFmtId="0" fontId="3" fillId="5" borderId="4" xfId="0" applyFont="1" applyFill="1" applyBorder="1" applyAlignment="1" applyProtection="1">
      <alignment vertical="center" wrapText="1"/>
      <protection locked="0"/>
    </xf>
    <xf numFmtId="0" fontId="3" fillId="5" borderId="4" xfId="0" applyFont="1" applyFill="1" applyBorder="1" applyAlignment="1" applyProtection="1">
      <alignment horizontal="center" vertical="center" wrapText="1"/>
      <protection locked="0"/>
    </xf>
    <xf numFmtId="0" fontId="3" fillId="5" borderId="2" xfId="0" applyFont="1" applyFill="1" applyBorder="1" applyAlignment="1">
      <alignment vertical="center" wrapText="1"/>
    </xf>
    <xf numFmtId="0" fontId="4" fillId="4" borderId="1" xfId="0" applyFont="1" applyFill="1" applyBorder="1" applyAlignment="1">
      <alignment horizontal="center" vertical="center"/>
    </xf>
    <xf numFmtId="0" fontId="1" fillId="4" borderId="1" xfId="0" applyFont="1" applyFill="1" applyBorder="1" applyAlignment="1">
      <alignment horizontal="center" vertical="center" wrapText="1"/>
    </xf>
    <xf numFmtId="0" fontId="1" fillId="4" borderId="1" xfId="0" applyFont="1" applyFill="1" applyBorder="1" applyAlignment="1" applyProtection="1">
      <alignment vertical="center" wrapText="1"/>
      <protection locked="0"/>
    </xf>
    <xf numFmtId="0" fontId="4" fillId="4" borderId="3" xfId="0" applyFont="1" applyFill="1" applyBorder="1" applyAlignment="1">
      <alignment horizontal="left" vertical="center" wrapText="1"/>
    </xf>
    <xf numFmtId="0" fontId="3" fillId="0" borderId="1" xfId="0" applyFont="1" applyBorder="1" applyAlignment="1">
      <alignment vertical="center" wrapText="1"/>
    </xf>
    <xf numFmtId="0" fontId="4" fillId="0" borderId="1" xfId="0" applyFont="1" applyBorder="1" applyAlignment="1">
      <alignment horizontal="center" vertical="center" wrapText="1"/>
    </xf>
    <xf numFmtId="0" fontId="0" fillId="0" borderId="1" xfId="0" applyBorder="1"/>
    <xf numFmtId="0" fontId="0" fillId="0" borderId="1" xfId="0"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0" fillId="0" borderId="1" xfId="0" applyBorder="1" applyAlignment="1">
      <alignment vertical="center" wrapText="1"/>
    </xf>
    <xf numFmtId="0" fontId="0" fillId="0" borderId="1" xfId="0" applyBorder="1" applyAlignment="1">
      <alignment wrapText="1"/>
    </xf>
    <xf numFmtId="0" fontId="7" fillId="0" borderId="1" xfId="0" applyFont="1" applyBorder="1" applyAlignment="1">
      <alignment horizontal="left" vertical="center" wrapText="1"/>
    </xf>
    <xf numFmtId="0" fontId="5" fillId="3" borderId="1" xfId="2" applyFont="1" applyBorder="1" applyAlignment="1">
      <alignment horizontal="center" vertical="center" wrapText="1"/>
    </xf>
    <xf numFmtId="0" fontId="5" fillId="3" borderId="1" xfId="2" applyFont="1" applyBorder="1" applyAlignment="1">
      <alignment horizontal="right" vertical="center" wrapText="1"/>
    </xf>
    <xf numFmtId="0" fontId="4" fillId="5" borderId="1" xfId="0" applyFont="1" applyFill="1" applyBorder="1" applyAlignment="1" applyProtection="1">
      <alignment vertical="center" wrapText="1"/>
      <protection locked="0"/>
    </xf>
    <xf numFmtId="0" fontId="5" fillId="5" borderId="1" xfId="0" applyFont="1" applyFill="1" applyBorder="1" applyAlignment="1">
      <alignment horizontal="center" vertical="center" wrapText="1"/>
    </xf>
    <xf numFmtId="0" fontId="4" fillId="0" borderId="1" xfId="0" applyFont="1" applyBorder="1" applyAlignment="1" applyProtection="1">
      <alignment vertical="center" wrapText="1"/>
      <protection locked="0"/>
    </xf>
    <xf numFmtId="0" fontId="4" fillId="0" borderId="1" xfId="0" applyFont="1" applyBorder="1" applyAlignment="1">
      <alignment vertical="center" wrapText="1"/>
    </xf>
    <xf numFmtId="0" fontId="4" fillId="0" borderId="1" xfId="0" applyFont="1" applyBorder="1" applyAlignment="1">
      <alignment horizontal="justify" vertical="top" wrapText="1"/>
    </xf>
    <xf numFmtId="0" fontId="4" fillId="0" borderId="2" xfId="0" applyFont="1" applyBorder="1" applyAlignment="1" applyProtection="1">
      <alignment vertical="center" wrapText="1"/>
      <protection locked="0"/>
    </xf>
    <xf numFmtId="0" fontId="4" fillId="0" borderId="4" xfId="0" applyFont="1" applyBorder="1" applyAlignment="1">
      <alignment horizontal="center" vertical="center" wrapText="1"/>
    </xf>
    <xf numFmtId="0" fontId="4" fillId="0" borderId="1" xfId="0" applyFont="1" applyBorder="1" applyAlignment="1">
      <alignment horizontal="justify" vertical="center" wrapText="1"/>
    </xf>
    <xf numFmtId="0" fontId="4" fillId="0" borderId="1" xfId="0" applyFont="1" applyBorder="1" applyAlignment="1">
      <alignment horizontal="center" vertical="center"/>
    </xf>
    <xf numFmtId="0" fontId="3" fillId="5" borderId="5" xfId="0" applyFont="1" applyFill="1" applyBorder="1" applyAlignment="1">
      <alignment vertical="center" wrapText="1"/>
    </xf>
    <xf numFmtId="0" fontId="3" fillId="5" borderId="5"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4" borderId="1" xfId="0" applyFont="1" applyFill="1" applyBorder="1" applyAlignment="1">
      <alignment horizontal="justify" vertical="top" wrapText="1"/>
    </xf>
    <xf numFmtId="165" fontId="3" fillId="0" borderId="1" xfId="5" applyNumberFormat="1" applyFont="1" applyBorder="1" applyAlignment="1">
      <alignment vertical="center" wrapText="1"/>
    </xf>
    <xf numFmtId="0" fontId="1" fillId="0" borderId="2" xfId="0" applyFont="1" applyBorder="1" applyAlignment="1" applyProtection="1">
      <alignment vertical="center" wrapText="1"/>
      <protection locked="0"/>
    </xf>
    <xf numFmtId="0" fontId="1" fillId="0" borderId="0" xfId="0" applyFont="1" applyAlignment="1">
      <alignment horizontal="center" vertical="center" wrapText="1"/>
    </xf>
    <xf numFmtId="165" fontId="3" fillId="5" borderId="1" xfId="5" applyNumberFormat="1" applyFont="1" applyFill="1" applyBorder="1" applyAlignment="1">
      <alignment vertical="center" wrapText="1"/>
    </xf>
    <xf numFmtId="0" fontId="3" fillId="5" borderId="1" xfId="0" applyFont="1" applyFill="1" applyBorder="1" applyAlignment="1">
      <alignment horizontal="center" vertical="center" wrapText="1"/>
    </xf>
    <xf numFmtId="165" fontId="13" fillId="11" borderId="1" xfId="0" applyNumberFormat="1" applyFont="1" applyFill="1" applyBorder="1" applyAlignment="1">
      <alignment vertical="center" wrapText="1"/>
    </xf>
    <xf numFmtId="0" fontId="13" fillId="11" borderId="1" xfId="0" applyFont="1" applyFill="1" applyBorder="1" applyAlignment="1">
      <alignment horizontal="center" vertical="center" wrapText="1"/>
    </xf>
    <xf numFmtId="164" fontId="3" fillId="0" borderId="1" xfId="5" applyNumberFormat="1" applyFont="1" applyFill="1" applyBorder="1" applyAlignment="1">
      <alignment horizontal="right" vertical="center" wrapText="1"/>
    </xf>
    <xf numFmtId="164" fontId="3" fillId="0" borderId="1" xfId="6" applyNumberFormat="1" applyFont="1" applyFill="1" applyBorder="1" applyAlignment="1">
      <alignment horizontal="right" vertical="center" wrapText="1"/>
    </xf>
    <xf numFmtId="0" fontId="4" fillId="4" borderId="1" xfId="0" applyFont="1" applyFill="1" applyBorder="1" applyAlignment="1">
      <alignment horizontal="center" vertical="center" wrapText="1"/>
    </xf>
    <xf numFmtId="0" fontId="4" fillId="0" borderId="11" xfId="0" applyFont="1" applyBorder="1" applyAlignment="1" applyProtection="1">
      <alignment horizontal="center" vertical="center" wrapText="1"/>
      <protection locked="0"/>
    </xf>
    <xf numFmtId="0" fontId="4" fillId="0" borderId="7" xfId="0" applyFont="1" applyBorder="1" applyAlignment="1">
      <alignment horizontal="center" vertical="center" wrapText="1"/>
    </xf>
    <xf numFmtId="0" fontId="4" fillId="0" borderId="7" xfId="0" applyFont="1" applyBorder="1" applyAlignment="1">
      <alignment horizontal="center" vertical="center"/>
    </xf>
    <xf numFmtId="165" fontId="3" fillId="4" borderId="1" xfId="5" applyNumberFormat="1" applyFont="1" applyFill="1" applyBorder="1" applyAlignment="1">
      <alignment vertical="center" wrapText="1"/>
    </xf>
    <xf numFmtId="0" fontId="4" fillId="0" borderId="13" xfId="0" applyFont="1" applyBorder="1" applyAlignment="1">
      <alignment horizontal="center" vertical="center" wrapText="1"/>
    </xf>
    <xf numFmtId="165" fontId="3" fillId="0" borderId="2" xfId="5" applyNumberFormat="1" applyFont="1" applyBorder="1" applyAlignment="1">
      <alignment vertical="center" wrapText="1"/>
    </xf>
    <xf numFmtId="165" fontId="3" fillId="0" borderId="3" xfId="5" applyNumberFormat="1" applyFont="1" applyBorder="1" applyAlignment="1">
      <alignment vertical="center" wrapText="1"/>
    </xf>
    <xf numFmtId="0" fontId="18" fillId="0" borderId="1" xfId="0" applyFont="1" applyBorder="1" applyAlignment="1">
      <alignment horizontal="justify" vertical="center"/>
    </xf>
    <xf numFmtId="165" fontId="20" fillId="0" borderId="14" xfId="5" applyNumberFormat="1" applyFont="1" applyFill="1" applyBorder="1" applyAlignment="1">
      <alignment vertical="center"/>
    </xf>
    <xf numFmtId="165" fontId="20" fillId="0" borderId="15" xfId="0" applyNumberFormat="1" applyFont="1" applyBorder="1" applyAlignment="1">
      <alignment vertical="center"/>
    </xf>
    <xf numFmtId="0" fontId="4" fillId="4" borderId="1" xfId="0" applyFont="1" applyFill="1" applyBorder="1" applyAlignment="1">
      <alignment horizontal="left" vertical="center" wrapText="1"/>
    </xf>
    <xf numFmtId="0" fontId="3" fillId="5" borderId="1" xfId="0" applyFont="1" applyFill="1" applyBorder="1" applyAlignment="1">
      <alignment vertical="center" wrapText="1"/>
    </xf>
    <xf numFmtId="0" fontId="18" fillId="15" borderId="1" xfId="0" applyFont="1" applyFill="1" applyBorder="1" applyAlignment="1">
      <alignment horizontal="justify" vertical="center"/>
    </xf>
    <xf numFmtId="0" fontId="18" fillId="15" borderId="1" xfId="0" applyFont="1" applyFill="1" applyBorder="1" applyAlignment="1">
      <alignment horizontal="justify" vertical="center" wrapText="1"/>
    </xf>
    <xf numFmtId="0" fontId="21" fillId="0" borderId="0" xfId="0" applyFont="1"/>
    <xf numFmtId="0" fontId="4" fillId="0" borderId="6" xfId="0" applyFont="1" applyBorder="1" applyAlignment="1">
      <alignment horizontal="center" vertical="center" wrapText="1"/>
    </xf>
    <xf numFmtId="0" fontId="3" fillId="0" borderId="6" xfId="0" applyFont="1" applyBorder="1" applyAlignment="1">
      <alignment horizontal="center" vertical="center" wrapText="1"/>
    </xf>
    <xf numFmtId="0" fontId="0" fillId="0" borderId="6" xfId="0" applyBorder="1" applyAlignment="1">
      <alignment horizontal="center" vertical="center"/>
    </xf>
    <xf numFmtId="165" fontId="3" fillId="0" borderId="6" xfId="5" applyNumberFormat="1" applyFont="1" applyBorder="1" applyAlignment="1">
      <alignment vertical="center" wrapText="1"/>
    </xf>
    <xf numFmtId="0" fontId="4" fillId="0" borderId="6" xfId="0" applyFont="1" applyBorder="1" applyAlignment="1">
      <alignment horizontal="left" vertical="center" wrapText="1"/>
    </xf>
    <xf numFmtId="0" fontId="5" fillId="5" borderId="6" xfId="0" applyFont="1" applyFill="1" applyBorder="1" applyAlignment="1">
      <alignment horizontal="left" vertical="center" wrapText="1"/>
    </xf>
    <xf numFmtId="0" fontId="24" fillId="0" borderId="1" xfId="0" applyFont="1" applyBorder="1" applyAlignment="1">
      <alignment horizontal="left" vertical="center" wrapText="1"/>
    </xf>
    <xf numFmtId="0" fontId="4" fillId="0" borderId="5" xfId="0" applyFont="1" applyBorder="1" applyAlignment="1">
      <alignment horizontal="center" vertical="center" wrapText="1"/>
    </xf>
    <xf numFmtId="0" fontId="0" fillId="0" borderId="19" xfId="0" applyBorder="1" applyAlignment="1">
      <alignment vertical="center" wrapText="1"/>
    </xf>
    <xf numFmtId="0" fontId="4" fillId="0" borderId="10" xfId="0" applyFont="1" applyBorder="1" applyAlignment="1" applyProtection="1">
      <alignment vertical="center" wrapText="1"/>
      <protection locked="0"/>
    </xf>
    <xf numFmtId="165" fontId="1" fillId="0" borderId="0" xfId="0" applyNumberFormat="1" applyFont="1" applyAlignment="1">
      <alignment vertical="center" wrapText="1"/>
    </xf>
    <xf numFmtId="0" fontId="29" fillId="0" borderId="6"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1" fillId="0" borderId="5" xfId="0" applyFont="1" applyBorder="1" applyAlignment="1" applyProtection="1">
      <alignment horizontal="center" vertical="center" wrapText="1"/>
      <protection locked="0"/>
    </xf>
    <xf numFmtId="0" fontId="1" fillId="0" borderId="13" xfId="0" applyFont="1" applyBorder="1" applyAlignment="1" applyProtection="1">
      <alignment horizontal="center" vertical="center" wrapText="1"/>
      <protection locked="0"/>
    </xf>
    <xf numFmtId="0" fontId="15" fillId="8" borderId="2" xfId="0" applyFont="1" applyFill="1" applyBorder="1" applyAlignment="1">
      <alignment horizontal="center" vertical="center" wrapText="1"/>
    </xf>
    <xf numFmtId="0" fontId="15" fillId="8" borderId="3" xfId="0" applyFont="1" applyFill="1" applyBorder="1" applyAlignment="1">
      <alignment horizontal="center" vertical="center" wrapText="1"/>
    </xf>
    <xf numFmtId="165" fontId="3" fillId="5" borderId="2" xfId="5" applyNumberFormat="1" applyFont="1" applyFill="1" applyBorder="1" applyAlignment="1">
      <alignment horizontal="center" vertical="center" wrapText="1"/>
    </xf>
    <xf numFmtId="165" fontId="3" fillId="5" borderId="3" xfId="5" applyNumberFormat="1" applyFont="1" applyFill="1" applyBorder="1" applyAlignment="1">
      <alignment horizontal="center" vertical="center" wrapText="1"/>
    </xf>
    <xf numFmtId="0" fontId="17" fillId="12" borderId="2" xfId="0" applyFont="1" applyFill="1" applyBorder="1" applyAlignment="1">
      <alignment horizontal="center" vertical="center" wrapText="1"/>
    </xf>
    <xf numFmtId="0" fontId="17" fillId="0" borderId="3" xfId="0" applyFont="1" applyBorder="1" applyAlignment="1">
      <alignment horizontal="center" vertical="center" wrapText="1"/>
    </xf>
    <xf numFmtId="0" fontId="1"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165" fontId="3" fillId="0" borderId="1" xfId="5" applyNumberFormat="1" applyFont="1" applyBorder="1" applyAlignment="1">
      <alignment horizontal="center" vertical="center" wrapText="1"/>
    </xf>
    <xf numFmtId="49" fontId="5" fillId="5" borderId="2" xfId="4" applyFont="1" applyFill="1" applyBorder="1" applyAlignment="1">
      <alignment horizontal="center" vertical="center" wrapText="1"/>
    </xf>
    <xf numFmtId="49" fontId="5" fillId="5" borderId="3" xfId="4" applyFont="1" applyFill="1" applyBorder="1" applyAlignment="1">
      <alignment horizontal="center" vertical="center" wrapText="1"/>
    </xf>
    <xf numFmtId="0" fontId="5" fillId="5" borderId="1" xfId="0" applyFont="1" applyFill="1" applyBorder="1" applyAlignment="1">
      <alignment horizontal="center" vertical="center" wrapText="1"/>
    </xf>
    <xf numFmtId="0" fontId="18" fillId="15" borderId="6" xfId="0" applyFont="1" applyFill="1" applyBorder="1" applyAlignment="1">
      <alignment horizontal="center" vertical="center" wrapText="1"/>
    </xf>
    <xf numFmtId="0" fontId="18" fillId="15" borderId="7" xfId="0" applyFont="1" applyFill="1" applyBorder="1" applyAlignment="1">
      <alignment horizontal="center" vertical="center" wrapText="1"/>
    </xf>
    <xf numFmtId="3" fontId="1" fillId="0" borderId="2" xfId="3" applyBorder="1" applyAlignment="1">
      <alignment horizontal="center" vertical="center" wrapText="1"/>
    </xf>
    <xf numFmtId="3" fontId="1" fillId="0" borderId="4" xfId="3" applyBorder="1" applyAlignment="1">
      <alignment horizontal="center" vertical="center" wrapText="1"/>
    </xf>
    <xf numFmtId="3" fontId="1" fillId="0" borderId="3" xfId="3" applyBorder="1" applyAlignment="1">
      <alignment horizontal="center" vertical="center" wrapText="1"/>
    </xf>
    <xf numFmtId="0" fontId="5" fillId="5" borderId="2"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2" borderId="1" xfId="1" applyFont="1" applyAlignment="1">
      <alignment horizontal="center" vertical="center" wrapText="1"/>
    </xf>
    <xf numFmtId="49" fontId="5" fillId="5" borderId="1" xfId="4" applyFont="1" applyFill="1" applyBorder="1" applyAlignment="1">
      <alignment horizontal="center" vertical="center" wrapText="1"/>
    </xf>
    <xf numFmtId="0" fontId="4" fillId="0" borderId="12" xfId="0" applyFont="1" applyBorder="1" applyAlignment="1">
      <alignment horizontal="center" vertical="center" wrapText="1"/>
    </xf>
    <xf numFmtId="0" fontId="4" fillId="0" borderId="9" xfId="0" applyFont="1"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4" fillId="0" borderId="6" xfId="0" applyFont="1" applyBorder="1" applyAlignment="1">
      <alignment vertical="center" wrapText="1"/>
    </xf>
    <xf numFmtId="0" fontId="4" fillId="0" borderId="7" xfId="0" applyFont="1" applyBorder="1" applyAlignment="1">
      <alignment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pplyProtection="1">
      <alignment horizontal="center" vertical="center" wrapText="1"/>
      <protection locked="0"/>
    </xf>
    <xf numFmtId="0" fontId="4" fillId="0" borderId="11" xfId="0" applyFont="1" applyBorder="1" applyAlignment="1" applyProtection="1">
      <alignment horizontal="center" vertical="center" wrapText="1"/>
      <protection locked="0"/>
    </xf>
    <xf numFmtId="0" fontId="1" fillId="0" borderId="1" xfId="0" applyFont="1" applyBorder="1" applyAlignment="1">
      <alignment horizontal="left" vertical="center" wrapText="1"/>
    </xf>
    <xf numFmtId="0" fontId="0" fillId="0" borderId="1" xfId="0" applyBorder="1" applyAlignment="1">
      <alignment horizontal="center" vertical="center"/>
    </xf>
    <xf numFmtId="0" fontId="3" fillId="0" borderId="1" xfId="0" applyFont="1" applyBorder="1" applyAlignment="1">
      <alignment horizontal="center" vertical="center" wrapText="1"/>
    </xf>
    <xf numFmtId="0" fontId="9" fillId="13" borderId="8" xfId="0" applyFont="1" applyFill="1" applyBorder="1" applyAlignment="1">
      <alignment horizontal="center" vertical="center" wrapText="1"/>
    </xf>
    <xf numFmtId="0" fontId="10" fillId="13" borderId="0" xfId="0" applyFont="1" applyFill="1" applyAlignment="1">
      <alignment horizontal="center" vertical="center" wrapText="1"/>
    </xf>
    <xf numFmtId="0" fontId="0" fillId="13" borderId="0" xfId="0" applyFill="1" applyAlignment="1">
      <alignment vertical="center" wrapText="1"/>
    </xf>
    <xf numFmtId="167" fontId="11" fillId="6" borderId="1" xfId="7" applyNumberFormat="1" applyFont="1" applyFill="1" applyBorder="1" applyAlignment="1" applyProtection="1">
      <alignment horizontal="center" vertical="center" wrapText="1"/>
      <protection locked="0"/>
    </xf>
    <xf numFmtId="0" fontId="0" fillId="0" borderId="1" xfId="0" applyBorder="1" applyAlignment="1">
      <alignment horizontal="center" vertical="center" wrapText="1"/>
    </xf>
    <xf numFmtId="4" fontId="11" fillId="6" borderId="1" xfId="7" applyNumberFormat="1" applyFont="1" applyFill="1" applyBorder="1" applyAlignment="1" applyProtection="1">
      <alignment horizontal="center" vertical="center" wrapText="1"/>
      <protection locked="0"/>
    </xf>
    <xf numFmtId="0" fontId="0" fillId="0" borderId="1" xfId="0" applyBorder="1" applyAlignment="1">
      <alignment wrapText="1"/>
    </xf>
    <xf numFmtId="0" fontId="12" fillId="7" borderId="1" xfId="0" applyFont="1" applyFill="1" applyBorder="1" applyAlignment="1">
      <alignment horizontal="center" vertical="top" wrapText="1"/>
    </xf>
    <xf numFmtId="0" fontId="0" fillId="0" borderId="1" xfId="0" applyBorder="1" applyAlignment="1">
      <alignment horizontal="center" vertical="top" wrapText="1"/>
    </xf>
    <xf numFmtId="0" fontId="0" fillId="0" borderId="1" xfId="0" applyBorder="1" applyAlignment="1">
      <alignment vertical="top" wrapText="1"/>
    </xf>
    <xf numFmtId="0" fontId="12" fillId="8" borderId="1" xfId="0" applyFont="1" applyFill="1" applyBorder="1" applyAlignment="1">
      <alignment horizontal="center" vertical="top" wrapText="1"/>
    </xf>
    <xf numFmtId="165" fontId="3" fillId="0" borderId="12" xfId="5" applyNumberFormat="1" applyFont="1" applyBorder="1" applyAlignment="1">
      <alignment horizontal="center" vertical="center" wrapText="1"/>
    </xf>
    <xf numFmtId="165" fontId="3" fillId="0" borderId="9" xfId="5" applyNumberFormat="1" applyFont="1" applyBorder="1" applyAlignment="1">
      <alignment horizontal="center" vertical="center" wrapText="1"/>
    </xf>
    <xf numFmtId="0" fontId="22" fillId="7" borderId="2" xfId="10" applyFont="1" applyFill="1" applyBorder="1" applyAlignment="1">
      <alignment horizontal="center" vertical="center" wrapText="1"/>
    </xf>
    <xf numFmtId="0" fontId="23" fillId="7" borderId="3" xfId="10" applyFill="1" applyBorder="1" applyAlignment="1">
      <alignment horizontal="center" vertical="center" wrapText="1"/>
    </xf>
    <xf numFmtId="165" fontId="3" fillId="0" borderId="6" xfId="5" applyNumberFormat="1" applyFont="1" applyBorder="1" applyAlignment="1">
      <alignment horizontal="center" vertical="center" wrapText="1"/>
    </xf>
    <xf numFmtId="165" fontId="3" fillId="0" borderId="7" xfId="5" applyNumberFormat="1" applyFont="1" applyBorder="1" applyAlignment="1">
      <alignment horizontal="center" vertical="center" wrapText="1"/>
    </xf>
    <xf numFmtId="166" fontId="15" fillId="10" borderId="2" xfId="5" applyNumberFormat="1" applyFont="1" applyFill="1" applyBorder="1" applyAlignment="1">
      <alignment horizontal="center" vertical="center" wrapText="1"/>
    </xf>
    <xf numFmtId="0" fontId="16" fillId="10" borderId="3" xfId="0" applyFont="1" applyFill="1" applyBorder="1" applyAlignment="1">
      <alignment horizontal="center" vertical="center" wrapText="1"/>
    </xf>
    <xf numFmtId="166" fontId="12" fillId="10" borderId="1" xfId="5" applyNumberFormat="1" applyFont="1" applyFill="1" applyBorder="1" applyAlignment="1">
      <alignment horizontal="center" vertical="top" wrapText="1"/>
    </xf>
    <xf numFmtId="0" fontId="0" fillId="10" borderId="1" xfId="0" applyFill="1" applyBorder="1" applyAlignment="1">
      <alignment vertical="top"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164" fontId="3" fillId="0" borderId="1" xfId="6" applyNumberFormat="1"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14" fillId="14" borderId="2" xfId="0" applyFont="1" applyFill="1" applyBorder="1" applyAlignment="1">
      <alignment horizontal="center" vertical="center" wrapText="1"/>
    </xf>
    <xf numFmtId="0" fontId="14" fillId="14" borderId="4" xfId="0" applyFont="1" applyFill="1" applyBorder="1" applyAlignment="1">
      <alignment horizontal="center" vertical="center" wrapText="1"/>
    </xf>
    <xf numFmtId="0" fontId="14" fillId="14" borderId="3" xfId="0" applyFont="1" applyFill="1" applyBorder="1" applyAlignment="1">
      <alignment horizontal="center" vertical="center" wrapText="1"/>
    </xf>
    <xf numFmtId="165" fontId="3" fillId="0" borderId="2" xfId="5" applyNumberFormat="1" applyFont="1" applyBorder="1" applyAlignment="1">
      <alignment horizontal="center" vertical="center" wrapText="1"/>
    </xf>
    <xf numFmtId="165" fontId="3" fillId="0" borderId="3" xfId="5" applyNumberFormat="1" applyFont="1" applyBorder="1" applyAlignment="1">
      <alignment horizontal="center" vertical="center" wrapText="1"/>
    </xf>
    <xf numFmtId="165" fontId="3" fillId="0" borderId="6" xfId="5" applyNumberFormat="1" applyFont="1" applyBorder="1" applyAlignment="1">
      <alignment vertical="center" wrapText="1"/>
    </xf>
    <xf numFmtId="0" fontId="0" fillId="0" borderId="7" xfId="0" applyBorder="1" applyAlignment="1">
      <alignment vertical="center" wrapText="1"/>
    </xf>
    <xf numFmtId="165" fontId="3" fillId="13" borderId="2" xfId="5" applyNumberFormat="1" applyFont="1" applyFill="1" applyBorder="1" applyAlignment="1">
      <alignment horizontal="center" vertical="center" wrapText="1"/>
    </xf>
    <xf numFmtId="165" fontId="3" fillId="13" borderId="3" xfId="5" applyNumberFormat="1" applyFont="1" applyFill="1" applyBorder="1" applyAlignment="1">
      <alignment horizontal="center" vertical="center" wrapText="1"/>
    </xf>
    <xf numFmtId="0" fontId="29" fillId="0" borderId="6" xfId="0" applyFont="1" applyBorder="1" applyAlignment="1">
      <alignment horizontal="center" vertical="center" wrapText="1"/>
    </xf>
    <xf numFmtId="0" fontId="29" fillId="0" borderId="7" xfId="0" applyFont="1" applyBorder="1" applyAlignment="1">
      <alignment horizontal="center" vertical="center" wrapText="1"/>
    </xf>
    <xf numFmtId="165" fontId="3" fillId="16" borderId="2" xfId="5" applyNumberFormat="1" applyFont="1" applyFill="1" applyBorder="1" applyAlignment="1">
      <alignment horizontal="center" vertical="center" wrapText="1"/>
    </xf>
    <xf numFmtId="165" fontId="3" fillId="16" borderId="3" xfId="5" applyNumberFormat="1" applyFont="1" applyFill="1" applyBorder="1" applyAlignment="1">
      <alignment horizontal="center" vertical="center" wrapText="1"/>
    </xf>
    <xf numFmtId="165" fontId="3" fillId="10" borderId="2" xfId="5" applyNumberFormat="1" applyFont="1" applyFill="1" applyBorder="1" applyAlignment="1">
      <alignment horizontal="center" vertical="center" wrapText="1"/>
    </xf>
    <xf numFmtId="165" fontId="3" fillId="10" borderId="3" xfId="5" applyNumberFormat="1" applyFont="1" applyFill="1" applyBorder="1" applyAlignment="1">
      <alignment horizontal="center" vertical="center" wrapText="1"/>
    </xf>
    <xf numFmtId="165" fontId="3" fillId="9" borderId="2" xfId="5" applyNumberFormat="1" applyFont="1" applyFill="1" applyBorder="1" applyAlignment="1">
      <alignment horizontal="center" vertical="center" wrapText="1"/>
    </xf>
    <xf numFmtId="165" fontId="3" fillId="9" borderId="3" xfId="5" applyNumberFormat="1" applyFont="1" applyFill="1" applyBorder="1" applyAlignment="1">
      <alignment horizontal="center" vertical="center" wrapText="1"/>
    </xf>
    <xf numFmtId="165" fontId="3" fillId="0" borderId="5" xfId="5" applyNumberFormat="1" applyFont="1" applyBorder="1" applyAlignment="1">
      <alignment horizontal="center" vertical="center" wrapText="1"/>
    </xf>
    <xf numFmtId="165" fontId="3" fillId="0" borderId="13" xfId="5" applyNumberFormat="1" applyFont="1" applyBorder="1" applyAlignment="1">
      <alignment horizontal="center" vertical="center" wrapText="1"/>
    </xf>
    <xf numFmtId="0" fontId="3" fillId="0" borderId="5" xfId="0" applyFont="1" applyBorder="1" applyAlignment="1">
      <alignment horizontal="center" vertical="center" wrapText="1"/>
    </xf>
    <xf numFmtId="0" fontId="3" fillId="0" borderId="13" xfId="0" applyFont="1" applyBorder="1" applyAlignment="1">
      <alignment horizontal="center" vertical="center" wrapText="1"/>
    </xf>
    <xf numFmtId="165" fontId="3" fillId="0" borderId="10" xfId="5" applyNumberFormat="1" applyFont="1" applyBorder="1" applyAlignment="1">
      <alignment horizontal="center" vertical="center" wrapText="1"/>
    </xf>
    <xf numFmtId="165" fontId="3" fillId="0" borderId="11" xfId="5" applyNumberFormat="1" applyFont="1" applyBorder="1" applyAlignment="1">
      <alignment horizontal="center" vertical="center" wrapText="1"/>
    </xf>
    <xf numFmtId="0" fontId="14" fillId="7" borderId="1" xfId="0" applyFont="1" applyFill="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19" fillId="14" borderId="16" xfId="0" applyFont="1" applyFill="1" applyBorder="1" applyAlignment="1">
      <alignment horizontal="center" vertical="center" wrapText="1"/>
    </xf>
    <xf numFmtId="0" fontId="19" fillId="14" borderId="17" xfId="0" applyFont="1" applyFill="1" applyBorder="1" applyAlignment="1">
      <alignment horizontal="center" vertical="center" wrapText="1"/>
    </xf>
    <xf numFmtId="0" fontId="19" fillId="14" borderId="18" xfId="0" applyFont="1" applyFill="1" applyBorder="1" applyAlignment="1">
      <alignment horizontal="center" vertical="center" wrapText="1"/>
    </xf>
    <xf numFmtId="0" fontId="18" fillId="15" borderId="2" xfId="0" applyFont="1" applyFill="1" applyBorder="1" applyAlignment="1">
      <alignment horizontal="center" vertical="center" wrapText="1"/>
    </xf>
    <xf numFmtId="0" fontId="18" fillId="15" borderId="4" xfId="0" applyFont="1" applyFill="1" applyBorder="1" applyAlignment="1">
      <alignment horizontal="center" vertical="center" wrapText="1"/>
    </xf>
    <xf numFmtId="0" fontId="18" fillId="15" borderId="3" xfId="0" applyFont="1" applyFill="1" applyBorder="1" applyAlignment="1">
      <alignment horizontal="center" vertical="center" wrapText="1"/>
    </xf>
    <xf numFmtId="165" fontId="3" fillId="16" borderId="4" xfId="5" applyNumberFormat="1" applyFont="1" applyFill="1" applyBorder="1" applyAlignment="1">
      <alignment horizontal="center" vertical="center" wrapText="1"/>
    </xf>
    <xf numFmtId="165" fontId="3" fillId="16" borderId="5" xfId="5" applyNumberFormat="1" applyFont="1" applyFill="1" applyBorder="1" applyAlignment="1">
      <alignment horizontal="center" vertical="center" wrapText="1"/>
    </xf>
    <xf numFmtId="165" fontId="3" fillId="16" borderId="12" xfId="5" applyNumberFormat="1" applyFont="1" applyFill="1" applyBorder="1" applyAlignment="1">
      <alignment horizontal="center" vertical="center" wrapText="1"/>
    </xf>
    <xf numFmtId="0" fontId="4" fillId="0" borderId="6" xfId="0" applyFont="1" applyBorder="1" applyAlignment="1" applyProtection="1">
      <alignment horizontal="center" vertical="center" wrapText="1"/>
      <protection locked="0"/>
    </xf>
    <xf numFmtId="0" fontId="4" fillId="0" borderId="7" xfId="0" applyFont="1" applyBorder="1" applyAlignment="1" applyProtection="1">
      <alignment horizontal="center" vertical="center" wrapText="1"/>
      <protection locked="0"/>
    </xf>
  </cellXfs>
  <cellStyles count="57">
    <cellStyle name="BodyStyle" xfId="4" xr:uid="{00000000-0005-0000-0000-000000000000}"/>
    <cellStyle name="Currency" xfId="28" xr:uid="{302D2077-6C78-4629-A794-ABF4E5EBCAD2}"/>
    <cellStyle name="HeaderStyle" xfId="2" xr:uid="{00000000-0005-0000-0000-000001000000}"/>
    <cellStyle name="Hipervínculo" xfId="10" builtinId="8"/>
    <cellStyle name="Hyperlink" xfId="11" xr:uid="{10433481-E828-489C-943A-44146977F813}"/>
    <cellStyle name="Hyperlink 2" xfId="25" xr:uid="{BA2CC1AA-8012-418B-AFBE-41C32D76A5B0}"/>
    <cellStyle name="Hyperlink 3" xfId="22" xr:uid="{3686A0E8-6B1A-4503-9F72-A1CA00C15E15}"/>
    <cellStyle name="MainTitle" xfId="1" xr:uid="{00000000-0005-0000-0000-000002000000}"/>
    <cellStyle name="Millares" xfId="7" builtinId="3"/>
    <cellStyle name="Millares 2" xfId="23" xr:uid="{7E7B5854-46C8-4646-9CBA-BAA91CD79760}"/>
    <cellStyle name="Millares 2 2" xfId="29" xr:uid="{DF30EC6F-B7EC-421B-B03A-F1BDB33C8B63}"/>
    <cellStyle name="Millares 2 2 2" xfId="50" xr:uid="{E631E89A-8CC8-448D-880E-C755B7DE14F4}"/>
    <cellStyle name="Millares 2 3" xfId="35" xr:uid="{DD7E5416-1F5E-40D4-8AD9-CE2C013F1AB3}"/>
    <cellStyle name="Millares 2 4" xfId="48" xr:uid="{CDDAAE83-9361-4E29-A3B4-8DC7217077D7}"/>
    <cellStyle name="Millares 3" xfId="41" xr:uid="{38C75061-FAEE-43FE-887B-554B3B23785B}"/>
    <cellStyle name="Millares 4" xfId="12" xr:uid="{6AC18AA2-866E-4615-8E04-8AEB955F5225}"/>
    <cellStyle name="Moneda" xfId="5" builtinId="4"/>
    <cellStyle name="Moneda [0]" xfId="6" builtinId="7"/>
    <cellStyle name="Moneda [0] 2" xfId="9" xr:uid="{E07EE7A2-F836-4C02-9159-D433E71C1086}"/>
    <cellStyle name="Moneda [0] 2 2" xfId="44" xr:uid="{5163A099-9B8B-484D-A285-6102208A9FAA}"/>
    <cellStyle name="Moneda [0] 2 3" xfId="18" xr:uid="{A91F4A9D-789D-4E23-88A3-5048700D8C8F}"/>
    <cellStyle name="Moneda [0] 3" xfId="19" xr:uid="{FD9F13F8-6EB1-45D3-AB0F-72BF7CF269E1}"/>
    <cellStyle name="Moneda [0] 3 2" xfId="45" xr:uid="{0BF9831F-9082-4BB3-B436-2B40E8BD6C54}"/>
    <cellStyle name="Moneda [0] 4" xfId="14" xr:uid="{523379D9-D941-4C25-BF6D-C074DA3618B1}"/>
    <cellStyle name="Moneda [0] 4 2" xfId="42" xr:uid="{09C47786-0568-4664-BC69-F2B9E6ECDB58}"/>
    <cellStyle name="Moneda [0] 5" xfId="33" xr:uid="{51566845-8F1F-4288-91F5-F08A464D2E10}"/>
    <cellStyle name="Moneda [0] 6" xfId="56" xr:uid="{E40A3DE1-DA7F-4E67-AF42-C910C45FF27C}"/>
    <cellStyle name="Moneda 10" xfId="52" xr:uid="{C231AF92-815D-47A1-8DCE-757AD4B60034}"/>
    <cellStyle name="Moneda 11" xfId="53" xr:uid="{8DE130AF-2849-4BE0-A88B-34A1AC620F80}"/>
    <cellStyle name="Moneda 12" xfId="54" xr:uid="{3BC114DC-A8D4-4FEF-9F26-65A33769D6D4}"/>
    <cellStyle name="Moneda 13" xfId="55" xr:uid="{274FE546-21F2-4FC4-BFB9-F75279301064}"/>
    <cellStyle name="Moneda 14" xfId="31" xr:uid="{E4A8ECB7-A89F-473F-94A6-E3159F256576}"/>
    <cellStyle name="Moneda 2" xfId="8" xr:uid="{96CE5626-270E-48FD-8DB4-01E41326B6C0}"/>
    <cellStyle name="Moneda 2 2" xfId="30" xr:uid="{CC2FC365-C4FA-443E-9173-6094108FF399}"/>
    <cellStyle name="Moneda 2 2 2" xfId="51" xr:uid="{599D268B-76F7-4B93-B914-E5F47A0D7524}"/>
    <cellStyle name="Moneda 2 3" xfId="36" xr:uid="{EAE1DB12-0A56-4B4D-8421-D567BADA11D5}"/>
    <cellStyle name="Moneda 2 4" xfId="43" xr:uid="{58E98486-45CE-48EA-B2B1-1B1AE0AB5053}"/>
    <cellStyle name="Moneda 2 5" xfId="17" xr:uid="{AD192A6B-F4CC-4A08-8174-50362FAE115C}"/>
    <cellStyle name="Moneda 3" xfId="20" xr:uid="{E5CCF0DC-0328-452A-8696-DE44779DD9DB}"/>
    <cellStyle name="Moneda 3 2" xfId="34" xr:uid="{6898D9E2-2B9E-402B-A86B-CE394B3BE40F}"/>
    <cellStyle name="Moneda 3 3" xfId="46" xr:uid="{6B9FDAD9-BB01-43D6-8B1D-23918E3A76E3}"/>
    <cellStyle name="Moneda 4" xfId="21" xr:uid="{9B0DCECF-3BAE-4AC1-82A1-D867336BEDCA}"/>
    <cellStyle name="Moneda 4 2" xfId="37" xr:uid="{C49A8FC3-736E-47B9-AA74-E3DC35163D8C}"/>
    <cellStyle name="Moneda 4 3" xfId="47" xr:uid="{CE77C431-691F-42DE-9159-5E4C299C7E43}"/>
    <cellStyle name="Moneda 5" xfId="26" xr:uid="{243B6939-EFF3-40F1-99EE-6E12A6DDBDC2}"/>
    <cellStyle name="Moneda 5 2" xfId="49" xr:uid="{7E1D93FE-46F7-4032-86A1-5AB6E1B47044}"/>
    <cellStyle name="Moneda 6" xfId="32" xr:uid="{09DA427B-829D-4B6E-AE2B-1D1E559F8D36}"/>
    <cellStyle name="Moneda 7" xfId="38" xr:uid="{2FDB68A6-C956-4103-ABF2-711688857C6B}"/>
    <cellStyle name="Moneda 8" xfId="40" xr:uid="{EB4B978C-24D8-42E5-A7D6-F2DA1ED79524}"/>
    <cellStyle name="Moneda 9" xfId="39" xr:uid="{BFAA8D6E-8E0B-49CB-9DCC-7718F7260B2B}"/>
    <cellStyle name="Normal" xfId="0" builtinId="0"/>
    <cellStyle name="Normal 2" xfId="15" xr:uid="{E5E41057-CF4E-4E26-B85F-B1567816F5AF}"/>
    <cellStyle name="Normal 2 3" xfId="27" xr:uid="{7970CF38-1659-4ED9-AB61-51D74E65DC31}"/>
    <cellStyle name="Normal 3" xfId="16" xr:uid="{07439BA8-F9DF-4183-83F6-513693A149B2}"/>
    <cellStyle name="Normal 4" xfId="24" xr:uid="{AA04CDE0-DF5A-47A5-A206-C10BE10686FE}"/>
    <cellStyle name="Normal 5" xfId="13" xr:uid="{FCF4C336-65F5-4D86-AA3C-EE6DE3DA00AA}"/>
    <cellStyle name="Numeric"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Z108"/>
  <sheetViews>
    <sheetView tabSelected="1" zoomScale="70" zoomScaleNormal="70" workbookViewId="0">
      <pane ySplit="4" topLeftCell="A73" activePane="bottomLeft" state="frozen"/>
      <selection pane="bottomLeft" activeCell="D73" sqref="D73"/>
    </sheetView>
  </sheetViews>
  <sheetFormatPr baseColWidth="10" defaultColWidth="9.140625" defaultRowHeight="12.75" x14ac:dyDescent="0.25"/>
  <cols>
    <col min="1" max="1" width="6.42578125" style="4" bestFit="1" customWidth="1"/>
    <col min="2" max="2" width="7.28515625" style="3" customWidth="1"/>
    <col min="3" max="3" width="7.5703125" style="5" customWidth="1"/>
    <col min="4" max="4" width="85" style="4" customWidth="1"/>
    <col min="5" max="5" width="12.140625" style="4" customWidth="1"/>
    <col min="6" max="6" width="10.28515625" style="4" customWidth="1"/>
    <col min="7" max="7" width="16.7109375" style="4" customWidth="1"/>
    <col min="8" max="13" width="25.5703125" style="1" customWidth="1"/>
    <col min="14" max="14" width="25.5703125" style="45" customWidth="1"/>
    <col min="15" max="15" width="25.5703125" style="1" customWidth="1"/>
    <col min="16" max="16" width="14.85546875" style="1" bestFit="1" customWidth="1"/>
    <col min="17" max="16384" width="9.140625" style="1"/>
  </cols>
  <sheetData>
    <row r="1" spans="1:78" ht="41.1" customHeight="1" x14ac:dyDescent="0.25">
      <c r="A1" s="118" t="s">
        <v>105</v>
      </c>
      <c r="B1" s="119"/>
      <c r="C1" s="119"/>
      <c r="D1" s="119"/>
      <c r="E1" s="119"/>
      <c r="F1" s="119"/>
      <c r="G1" s="119"/>
      <c r="H1" s="119"/>
      <c r="I1" s="119"/>
      <c r="J1" s="119"/>
      <c r="K1" s="119"/>
      <c r="L1" s="119"/>
      <c r="M1" s="119"/>
      <c r="N1" s="120"/>
      <c r="O1" s="120"/>
    </row>
    <row r="2" spans="1:78" ht="15.75" customHeight="1" x14ac:dyDescent="0.25">
      <c r="A2" s="118" t="s">
        <v>104</v>
      </c>
      <c r="B2" s="119"/>
      <c r="C2" s="119"/>
      <c r="D2" s="119"/>
      <c r="E2" s="119"/>
      <c r="F2" s="119"/>
      <c r="G2" s="119"/>
      <c r="H2" s="119"/>
      <c r="I2" s="119"/>
      <c r="J2" s="119"/>
      <c r="K2" s="119"/>
      <c r="L2" s="119"/>
      <c r="M2" s="119"/>
      <c r="N2" s="120"/>
      <c r="O2" s="120"/>
    </row>
    <row r="3" spans="1:78" ht="75.95" customHeight="1" x14ac:dyDescent="0.25">
      <c r="A3" s="103" t="s">
        <v>3</v>
      </c>
      <c r="B3" s="103"/>
      <c r="C3" s="103"/>
      <c r="D3" s="103"/>
      <c r="E3" s="103"/>
      <c r="F3" s="103"/>
      <c r="G3" s="103"/>
      <c r="H3" s="131" t="s">
        <v>154</v>
      </c>
      <c r="I3" s="132"/>
      <c r="J3" s="84" t="s">
        <v>101</v>
      </c>
      <c r="K3" s="85"/>
      <c r="L3" s="135" t="s">
        <v>99</v>
      </c>
      <c r="M3" s="136"/>
      <c r="N3" s="121" t="s">
        <v>91</v>
      </c>
      <c r="O3" s="123" t="s">
        <v>92</v>
      </c>
    </row>
    <row r="4" spans="1:78" ht="42.75" customHeight="1" x14ac:dyDescent="0.25">
      <c r="A4" s="28" t="s">
        <v>4</v>
      </c>
      <c r="B4" s="28" t="s">
        <v>5</v>
      </c>
      <c r="C4" s="29" t="s">
        <v>6</v>
      </c>
      <c r="D4" s="28" t="s">
        <v>0</v>
      </c>
      <c r="E4" s="28" t="s">
        <v>1</v>
      </c>
      <c r="F4" s="28" t="s">
        <v>82</v>
      </c>
      <c r="G4" s="28" t="s">
        <v>2</v>
      </c>
      <c r="H4" s="125" t="s">
        <v>93</v>
      </c>
      <c r="I4" s="125" t="s">
        <v>94</v>
      </c>
      <c r="J4" s="128" t="s">
        <v>95</v>
      </c>
      <c r="K4" s="128" t="s">
        <v>94</v>
      </c>
      <c r="L4" s="137" t="s">
        <v>95</v>
      </c>
      <c r="M4" s="137" t="s">
        <v>94</v>
      </c>
      <c r="N4" s="121"/>
      <c r="O4" s="123"/>
    </row>
    <row r="5" spans="1:78" s="10" customFormat="1" ht="38.25" customHeight="1" x14ac:dyDescent="0.25">
      <c r="A5" s="30"/>
      <c r="B5" s="31">
        <v>1</v>
      </c>
      <c r="C5" s="104" t="s">
        <v>31</v>
      </c>
      <c r="D5" s="104"/>
      <c r="E5" s="101"/>
      <c r="F5" s="102"/>
      <c r="G5" s="102"/>
      <c r="H5" s="126"/>
      <c r="I5" s="127"/>
      <c r="J5" s="127"/>
      <c r="K5" s="127"/>
      <c r="L5" s="138"/>
      <c r="M5" s="138"/>
      <c r="N5" s="122"/>
      <c r="O5" s="124"/>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row>
    <row r="6" spans="1:78" s="2" customFormat="1" ht="63.75" customHeight="1" x14ac:dyDescent="0.25">
      <c r="A6" s="32"/>
      <c r="B6" s="20" t="s">
        <v>7</v>
      </c>
      <c r="C6" s="38">
        <v>82101502</v>
      </c>
      <c r="D6" s="9" t="s">
        <v>136</v>
      </c>
      <c r="E6" s="20">
        <v>500</v>
      </c>
      <c r="F6" s="20"/>
      <c r="G6" s="20" t="s">
        <v>9</v>
      </c>
      <c r="H6" s="43">
        <f>4500*1.13</f>
        <v>5084.9999999999991</v>
      </c>
      <c r="I6" s="43">
        <f>E6*H6</f>
        <v>2542499.9999999995</v>
      </c>
      <c r="J6" s="43">
        <v>5029</v>
      </c>
      <c r="K6" s="43">
        <f>E6*J6</f>
        <v>2514500</v>
      </c>
      <c r="L6" s="43">
        <f>700*1.134</f>
        <v>793.8</v>
      </c>
      <c r="M6" s="43">
        <f>+L6*E6</f>
        <v>396900</v>
      </c>
      <c r="N6" s="41">
        <v>3</v>
      </c>
      <c r="O6" s="43">
        <f>(I6+K6+M6)/N6</f>
        <v>1817966.6666666667</v>
      </c>
      <c r="P6" s="1"/>
      <c r="Q6" s="1"/>
      <c r="R6" s="1"/>
      <c r="S6" s="1"/>
      <c r="T6" s="1"/>
      <c r="U6" s="1"/>
      <c r="V6" s="1"/>
      <c r="W6" s="1"/>
      <c r="X6" s="1"/>
      <c r="Y6" s="1"/>
      <c r="Z6" s="1"/>
      <c r="AA6" s="1"/>
      <c r="AB6" s="1"/>
    </row>
    <row r="7" spans="1:78" s="2" customFormat="1" ht="48" customHeight="1" x14ac:dyDescent="0.25">
      <c r="A7" s="32"/>
      <c r="B7" s="80" t="s">
        <v>8</v>
      </c>
      <c r="C7" s="139">
        <v>82101501</v>
      </c>
      <c r="D7" s="80" t="s">
        <v>52</v>
      </c>
      <c r="E7" s="80">
        <v>10</v>
      </c>
      <c r="F7" s="80"/>
      <c r="G7" s="80" t="s">
        <v>9</v>
      </c>
      <c r="H7" s="133">
        <f>150000*1.13</f>
        <v>169499.99999999997</v>
      </c>
      <c r="I7" s="133">
        <f>E7*H7</f>
        <v>1694999.9999999998</v>
      </c>
      <c r="J7" s="88" t="s">
        <v>102</v>
      </c>
      <c r="K7" s="89"/>
      <c r="L7" s="133">
        <v>0</v>
      </c>
      <c r="M7" s="133">
        <v>0</v>
      </c>
      <c r="N7" s="141">
        <v>2</v>
      </c>
      <c r="O7" s="133">
        <f t="shared" ref="O7:O9" si="0">(I7+K7+M7)/N7</f>
        <v>847499.99999999988</v>
      </c>
      <c r="P7" s="1"/>
      <c r="Q7" s="1"/>
      <c r="R7" s="1"/>
      <c r="S7" s="1"/>
      <c r="T7" s="1"/>
      <c r="U7" s="1"/>
      <c r="V7" s="1"/>
      <c r="W7" s="1"/>
      <c r="X7" s="1"/>
      <c r="Y7" s="1"/>
      <c r="Z7" s="1"/>
      <c r="AA7" s="1"/>
      <c r="AB7" s="1"/>
    </row>
    <row r="8" spans="1:78" s="2" customFormat="1" ht="51.75" customHeight="1" x14ac:dyDescent="0.25">
      <c r="A8" s="32"/>
      <c r="B8" s="81"/>
      <c r="C8" s="140"/>
      <c r="D8" s="81"/>
      <c r="E8" s="81"/>
      <c r="F8" s="81"/>
      <c r="G8" s="81"/>
      <c r="H8" s="134"/>
      <c r="I8" s="134"/>
      <c r="J8" s="50">
        <f>105000*1.13</f>
        <v>118649.99999999999</v>
      </c>
      <c r="K8" s="43">
        <f>+E7*J8</f>
        <v>1186499.9999999998</v>
      </c>
      <c r="L8" s="134"/>
      <c r="M8" s="134"/>
      <c r="N8" s="142"/>
      <c r="O8" s="134"/>
    </row>
    <row r="9" spans="1:78" s="2" customFormat="1" ht="51.75" customHeight="1" x14ac:dyDescent="0.25">
      <c r="A9" s="32"/>
      <c r="B9" s="80" t="s">
        <v>51</v>
      </c>
      <c r="C9" s="139">
        <v>82101600</v>
      </c>
      <c r="D9" s="80" t="s">
        <v>53</v>
      </c>
      <c r="E9" s="80">
        <v>1</v>
      </c>
      <c r="F9" s="80"/>
      <c r="G9" s="80" t="s">
        <v>11</v>
      </c>
      <c r="H9" s="133">
        <f>5000000*1.13</f>
        <v>5649999.9999999991</v>
      </c>
      <c r="I9" s="133">
        <f>E9*H9</f>
        <v>5649999.9999999991</v>
      </c>
      <c r="J9" s="88" t="s">
        <v>102</v>
      </c>
      <c r="K9" s="89"/>
      <c r="L9" s="143">
        <f>1445270*1.13</f>
        <v>1633155.0999999999</v>
      </c>
      <c r="M9" s="129">
        <f>+E9*L9</f>
        <v>1633155.0999999999</v>
      </c>
      <c r="N9" s="141">
        <v>3</v>
      </c>
      <c r="O9" s="133">
        <f t="shared" si="0"/>
        <v>2427718.3666666662</v>
      </c>
    </row>
    <row r="10" spans="1:78" s="2" customFormat="1" ht="65.45" customHeight="1" x14ac:dyDescent="0.25">
      <c r="A10" s="32"/>
      <c r="B10" s="81"/>
      <c r="C10" s="140"/>
      <c r="D10" s="81"/>
      <c r="E10" s="81"/>
      <c r="F10" s="81"/>
      <c r="G10" s="81"/>
      <c r="H10" s="134"/>
      <c r="I10" s="134"/>
      <c r="J10" s="43">
        <v>4520000</v>
      </c>
      <c r="K10" s="43">
        <f>+E9*J10</f>
        <v>4520000</v>
      </c>
      <c r="L10" s="143"/>
      <c r="M10" s="130"/>
      <c r="N10" s="142"/>
      <c r="O10" s="134"/>
    </row>
    <row r="11" spans="1:78" s="2" customFormat="1" ht="75.75" customHeight="1" x14ac:dyDescent="0.25">
      <c r="A11" s="30"/>
      <c r="B11" s="31">
        <v>2</v>
      </c>
      <c r="C11" s="104" t="s">
        <v>111</v>
      </c>
      <c r="D11" s="104"/>
      <c r="E11" s="101"/>
      <c r="F11" s="102"/>
      <c r="G11" s="102"/>
      <c r="H11" s="46"/>
      <c r="I11" s="46"/>
      <c r="J11" s="46"/>
      <c r="K11" s="46"/>
      <c r="L11" s="46"/>
      <c r="M11" s="46"/>
      <c r="N11" s="47"/>
      <c r="O11" s="46"/>
    </row>
    <row r="12" spans="1:78" s="2" customFormat="1" ht="122.25" customHeight="1" x14ac:dyDescent="0.25">
      <c r="A12" s="32"/>
      <c r="B12" s="20" t="s">
        <v>13</v>
      </c>
      <c r="C12" s="15">
        <v>80131500</v>
      </c>
      <c r="D12" s="42" t="s">
        <v>106</v>
      </c>
      <c r="E12" s="20">
        <v>5</v>
      </c>
      <c r="F12" s="20"/>
      <c r="G12" s="20" t="s">
        <v>32</v>
      </c>
      <c r="H12" s="43">
        <f>1300000*1.13</f>
        <v>1468999.9999999998</v>
      </c>
      <c r="I12" s="43">
        <f>E12*H12</f>
        <v>7344999.9999999991</v>
      </c>
      <c r="J12" s="43">
        <v>0</v>
      </c>
      <c r="K12" s="43">
        <v>0</v>
      </c>
      <c r="L12" s="43">
        <f>530000*1.13</f>
        <v>598900</v>
      </c>
      <c r="M12" s="43">
        <f>+L12*E12</f>
        <v>2994500</v>
      </c>
      <c r="N12" s="41">
        <v>2</v>
      </c>
      <c r="O12" s="43">
        <f>(I12+K12+M12)/N12</f>
        <v>5169750</v>
      </c>
    </row>
    <row r="13" spans="1:78" s="2" customFormat="1" ht="123.95" customHeight="1" x14ac:dyDescent="0.25">
      <c r="A13" s="32"/>
      <c r="B13" s="20" t="s">
        <v>54</v>
      </c>
      <c r="C13" s="22">
        <v>53121602</v>
      </c>
      <c r="D13" s="9" t="s">
        <v>107</v>
      </c>
      <c r="E13" s="20">
        <v>500</v>
      </c>
      <c r="F13" s="20"/>
      <c r="G13" s="20" t="s">
        <v>9</v>
      </c>
      <c r="H13" s="43">
        <v>45000</v>
      </c>
      <c r="I13" s="43">
        <f>E13*H13</f>
        <v>22500000</v>
      </c>
      <c r="J13" s="43">
        <v>0</v>
      </c>
      <c r="K13" s="43">
        <v>0</v>
      </c>
      <c r="L13" s="43">
        <v>0</v>
      </c>
      <c r="M13" s="43">
        <v>0</v>
      </c>
      <c r="N13" s="41">
        <v>2</v>
      </c>
      <c r="O13" s="43">
        <f>(I13+K13+M13)/N13</f>
        <v>11250000</v>
      </c>
    </row>
    <row r="14" spans="1:78" s="2" customFormat="1" ht="145.15" customHeight="1" x14ac:dyDescent="0.25">
      <c r="A14" s="32"/>
      <c r="B14" s="20" t="s">
        <v>55</v>
      </c>
      <c r="C14" s="22">
        <v>55101509</v>
      </c>
      <c r="D14" s="9" t="s">
        <v>25</v>
      </c>
      <c r="E14" s="20">
        <v>500</v>
      </c>
      <c r="F14" s="20"/>
      <c r="G14" s="20" t="s">
        <v>9</v>
      </c>
      <c r="H14" s="43">
        <v>60000</v>
      </c>
      <c r="I14" s="43">
        <f>E14*H14</f>
        <v>30000000</v>
      </c>
      <c r="J14" s="43">
        <v>0</v>
      </c>
      <c r="K14" s="43">
        <v>0</v>
      </c>
      <c r="L14" s="43">
        <f>15000*1.13</f>
        <v>16950</v>
      </c>
      <c r="M14" s="43">
        <f>+L14*E14</f>
        <v>8475000</v>
      </c>
      <c r="N14" s="41">
        <v>2</v>
      </c>
      <c r="O14" s="43">
        <f>(I14+K14+M14)/N14</f>
        <v>19237500</v>
      </c>
    </row>
    <row r="15" spans="1:78" s="2" customFormat="1" ht="57.95" customHeight="1" x14ac:dyDescent="0.25">
      <c r="A15" s="32"/>
      <c r="B15" s="20" t="s">
        <v>17</v>
      </c>
      <c r="C15" s="22">
        <v>44121704</v>
      </c>
      <c r="D15" s="9" t="s">
        <v>26</v>
      </c>
      <c r="E15" s="20">
        <v>500</v>
      </c>
      <c r="F15" s="20"/>
      <c r="G15" s="20" t="s">
        <v>9</v>
      </c>
      <c r="H15" s="43">
        <v>3500</v>
      </c>
      <c r="I15" s="43">
        <f>E15*H15</f>
        <v>1750000</v>
      </c>
      <c r="J15" s="43">
        <v>0</v>
      </c>
      <c r="K15" s="43">
        <v>0</v>
      </c>
      <c r="L15" s="43">
        <v>0</v>
      </c>
      <c r="M15" s="43">
        <v>0</v>
      </c>
      <c r="N15" s="41">
        <v>2</v>
      </c>
      <c r="O15" s="43">
        <f t="shared" ref="O15:O30" si="1">(I15+K15+M15)/N15</f>
        <v>875000</v>
      </c>
    </row>
    <row r="16" spans="1:78" s="2" customFormat="1" ht="57.95" customHeight="1" x14ac:dyDescent="0.25">
      <c r="A16" s="32"/>
      <c r="B16" s="20"/>
      <c r="C16" s="22"/>
      <c r="D16" s="73" t="s">
        <v>153</v>
      </c>
      <c r="E16" s="68"/>
      <c r="F16" s="68"/>
      <c r="G16" s="68"/>
      <c r="H16" s="58"/>
      <c r="I16" s="59"/>
      <c r="J16" s="58"/>
      <c r="K16" s="59"/>
      <c r="L16" s="43"/>
      <c r="M16" s="43"/>
      <c r="N16" s="41"/>
      <c r="O16" s="43"/>
    </row>
    <row r="17" spans="1:15" s="2" customFormat="1" ht="86.25" x14ac:dyDescent="0.25">
      <c r="A17" s="32"/>
      <c r="B17" s="20"/>
      <c r="C17" s="22"/>
      <c r="D17" s="37" t="s">
        <v>63</v>
      </c>
      <c r="E17" s="68">
        <v>100</v>
      </c>
      <c r="F17" s="68"/>
      <c r="G17" s="68"/>
      <c r="H17" s="43">
        <f>45000*1.13</f>
        <v>50849.999999999993</v>
      </c>
      <c r="I17" s="43">
        <f t="shared" ref="I17" si="2">E17*H17</f>
        <v>5084999.9999999991</v>
      </c>
      <c r="J17" s="43">
        <v>0</v>
      </c>
      <c r="K17" s="43">
        <v>0</v>
      </c>
      <c r="L17" s="43">
        <f>15000*1.13</f>
        <v>16950</v>
      </c>
      <c r="M17" s="43">
        <f>+L17*E17</f>
        <v>1695000</v>
      </c>
      <c r="N17" s="41">
        <v>2</v>
      </c>
      <c r="O17" s="43">
        <f>(I17+K17+M17)/N17</f>
        <v>3389999.9999999995</v>
      </c>
    </row>
    <row r="18" spans="1:15" s="2" customFormat="1" ht="57.95" customHeight="1" x14ac:dyDescent="0.25">
      <c r="A18" s="32"/>
      <c r="B18" s="20"/>
      <c r="C18" s="22"/>
      <c r="D18" s="72" t="s">
        <v>164</v>
      </c>
      <c r="E18" s="79">
        <v>110</v>
      </c>
      <c r="F18" s="68"/>
      <c r="G18" s="68"/>
      <c r="H18" s="58">
        <v>10760</v>
      </c>
      <c r="I18" s="59">
        <f>+H18*E18</f>
        <v>1183600</v>
      </c>
      <c r="J18" s="58">
        <v>20000</v>
      </c>
      <c r="K18" s="59">
        <f>+J18*E18</f>
        <v>2200000</v>
      </c>
      <c r="L18" s="43">
        <v>15000</v>
      </c>
      <c r="M18" s="43">
        <f>+L18*E18</f>
        <v>1650000</v>
      </c>
      <c r="N18" s="41">
        <v>3</v>
      </c>
      <c r="O18" s="43">
        <f>(I18+K18+M18)/N18</f>
        <v>1677866.6666666667</v>
      </c>
    </row>
    <row r="19" spans="1:15" s="2" customFormat="1" ht="67.5" customHeight="1" x14ac:dyDescent="0.25">
      <c r="A19" s="32"/>
      <c r="B19" s="20"/>
      <c r="C19" s="22"/>
      <c r="D19" s="74" t="s">
        <v>156</v>
      </c>
      <c r="E19" s="68">
        <v>100</v>
      </c>
      <c r="F19" s="68"/>
      <c r="G19" s="68"/>
      <c r="H19" s="58">
        <v>37660</v>
      </c>
      <c r="I19" s="59">
        <f>+H19*E19</f>
        <v>3766000</v>
      </c>
      <c r="J19" s="58">
        <v>10000</v>
      </c>
      <c r="K19" s="59">
        <f>+J19*E19</f>
        <v>1000000</v>
      </c>
      <c r="L19" s="43">
        <v>35000</v>
      </c>
      <c r="M19" s="43">
        <f>+L19*E19</f>
        <v>3500000</v>
      </c>
      <c r="N19" s="41">
        <v>3</v>
      </c>
      <c r="O19" s="43">
        <f>(I19+K19+M19)/N19</f>
        <v>2755333.3333333335</v>
      </c>
    </row>
    <row r="20" spans="1:15" s="2" customFormat="1" ht="57.95" customHeight="1" x14ac:dyDescent="0.25">
      <c r="A20" s="32"/>
      <c r="B20" s="20"/>
      <c r="C20" s="22"/>
      <c r="D20" s="72" t="s">
        <v>160</v>
      </c>
      <c r="E20" s="68">
        <v>100</v>
      </c>
      <c r="F20" s="68"/>
      <c r="G20" s="68"/>
      <c r="H20" s="58">
        <v>3766</v>
      </c>
      <c r="I20" s="59">
        <f>+H20*E20</f>
        <v>376600</v>
      </c>
      <c r="J20" s="58">
        <v>5000</v>
      </c>
      <c r="K20" s="59">
        <f>+J20*E20</f>
        <v>500000</v>
      </c>
      <c r="L20" s="43">
        <v>7900</v>
      </c>
      <c r="M20" s="43">
        <f>+L20*E20</f>
        <v>790000</v>
      </c>
      <c r="N20" s="41">
        <v>3</v>
      </c>
      <c r="O20" s="43">
        <f>(I20+K20+M20)/N20</f>
        <v>555533.33333333337</v>
      </c>
    </row>
    <row r="21" spans="1:15" s="2" customFormat="1" ht="192.75" customHeight="1" x14ac:dyDescent="0.25">
      <c r="A21" s="32"/>
      <c r="B21" s="20"/>
      <c r="C21" s="22"/>
      <c r="D21" s="33" t="s">
        <v>163</v>
      </c>
      <c r="E21" s="68">
        <v>100</v>
      </c>
      <c r="F21" s="68"/>
      <c r="G21" s="68"/>
      <c r="H21" s="43">
        <f>45000*1.13</f>
        <v>50849.999999999993</v>
      </c>
      <c r="I21" s="43">
        <f t="shared" ref="I21" si="3">E21*H21</f>
        <v>5084999.9999999991</v>
      </c>
      <c r="J21" s="43">
        <v>0</v>
      </c>
      <c r="K21" s="43">
        <v>0</v>
      </c>
      <c r="L21" s="43">
        <f>15000*1.13</f>
        <v>16950</v>
      </c>
      <c r="M21" s="43">
        <f>+L21*E21</f>
        <v>1695000</v>
      </c>
      <c r="N21" s="41">
        <v>2</v>
      </c>
      <c r="O21" s="43">
        <f t="shared" ref="O21" si="4">(I21+K21+M21)/N21</f>
        <v>3389999.9999999995</v>
      </c>
    </row>
    <row r="22" spans="1:15" s="2" customFormat="1" ht="57.95" customHeight="1" x14ac:dyDescent="0.25">
      <c r="A22" s="32"/>
      <c r="B22" s="20"/>
      <c r="C22" s="22"/>
      <c r="D22" s="80" t="s">
        <v>138</v>
      </c>
      <c r="E22" s="80">
        <v>100</v>
      </c>
      <c r="F22" s="80"/>
      <c r="G22" s="80" t="s">
        <v>9</v>
      </c>
      <c r="H22" s="149" t="s">
        <v>139</v>
      </c>
      <c r="I22" s="150"/>
      <c r="J22" s="149" t="s">
        <v>141</v>
      </c>
      <c r="K22" s="150"/>
      <c r="L22" s="43" t="s">
        <v>140</v>
      </c>
      <c r="M22" s="43"/>
      <c r="N22" s="41"/>
      <c r="O22" s="43"/>
    </row>
    <row r="23" spans="1:15" s="2" customFormat="1" ht="57.95" customHeight="1" x14ac:dyDescent="0.25">
      <c r="A23" s="32"/>
      <c r="B23" s="20"/>
      <c r="C23" s="22"/>
      <c r="D23" s="81"/>
      <c r="E23" s="81"/>
      <c r="F23" s="81"/>
      <c r="G23" s="81"/>
      <c r="H23" s="43">
        <v>52000</v>
      </c>
      <c r="I23" s="43">
        <f>+H23*E22</f>
        <v>5200000</v>
      </c>
      <c r="J23" s="43">
        <v>380000</v>
      </c>
      <c r="K23" s="43">
        <f>+J23*E22</f>
        <v>38000000</v>
      </c>
      <c r="L23" s="43"/>
      <c r="M23" s="43"/>
      <c r="N23" s="41"/>
      <c r="O23" s="43">
        <f>(I23+K23+M23)/E22</f>
        <v>432000</v>
      </c>
    </row>
    <row r="24" spans="1:15" s="2" customFormat="1" ht="57.95" customHeight="1" x14ac:dyDescent="0.25">
      <c r="A24" s="32"/>
      <c r="B24" s="20"/>
      <c r="C24" s="22"/>
      <c r="D24" s="80" t="s">
        <v>147</v>
      </c>
      <c r="E24" s="155">
        <v>110</v>
      </c>
      <c r="F24" s="80"/>
      <c r="G24" s="80" t="s">
        <v>9</v>
      </c>
      <c r="H24" s="157" t="s">
        <v>148</v>
      </c>
      <c r="I24" s="158"/>
      <c r="J24" s="159" t="s">
        <v>149</v>
      </c>
      <c r="K24" s="160"/>
      <c r="L24" s="161" t="s">
        <v>150</v>
      </c>
      <c r="M24" s="162"/>
      <c r="N24" s="41"/>
      <c r="O24" s="43"/>
    </row>
    <row r="25" spans="1:15" s="2" customFormat="1" ht="57.95" customHeight="1" x14ac:dyDescent="0.25">
      <c r="A25" s="32"/>
      <c r="B25" s="20"/>
      <c r="C25" s="22"/>
      <c r="D25" s="81"/>
      <c r="E25" s="156"/>
      <c r="F25" s="81"/>
      <c r="G25" s="81"/>
      <c r="H25" s="43">
        <v>38000</v>
      </c>
      <c r="I25" s="43">
        <f>+H25*E24</f>
        <v>4180000</v>
      </c>
      <c r="J25" s="43">
        <v>31000</v>
      </c>
      <c r="K25" s="43">
        <f>+J25*E24</f>
        <v>3410000</v>
      </c>
      <c r="L25" s="43">
        <v>36000</v>
      </c>
      <c r="M25" s="43">
        <f>+L25*E24</f>
        <v>3960000</v>
      </c>
      <c r="N25" s="41">
        <v>3</v>
      </c>
      <c r="O25" s="43">
        <f>(M25+K25+I25)/N25</f>
        <v>3850000</v>
      </c>
    </row>
    <row r="26" spans="1:15" s="2" customFormat="1" ht="57.95" customHeight="1" x14ac:dyDescent="0.25">
      <c r="A26" s="32"/>
      <c r="B26" s="20"/>
      <c r="C26" s="22"/>
      <c r="D26" s="144" t="s">
        <v>151</v>
      </c>
      <c r="E26" s="80">
        <v>1</v>
      </c>
      <c r="F26" s="80"/>
      <c r="G26" s="80" t="s">
        <v>152</v>
      </c>
      <c r="H26" s="146" t="s">
        <v>142</v>
      </c>
      <c r="I26" s="147"/>
      <c r="J26" s="147"/>
      <c r="K26" s="147"/>
      <c r="L26" s="147"/>
      <c r="M26" s="148"/>
      <c r="N26" s="41"/>
      <c r="O26" s="43"/>
    </row>
    <row r="27" spans="1:15" s="2" customFormat="1" ht="57.75" customHeight="1" x14ac:dyDescent="0.25">
      <c r="A27" s="32"/>
      <c r="B27" s="20"/>
      <c r="C27" s="22"/>
      <c r="D27" s="145"/>
      <c r="E27" s="81"/>
      <c r="F27" s="81"/>
      <c r="G27" s="81"/>
      <c r="H27" s="43">
        <v>1600000</v>
      </c>
      <c r="I27" s="43">
        <f>+H27*E26</f>
        <v>1600000</v>
      </c>
      <c r="J27" s="43">
        <v>1794533</v>
      </c>
      <c r="K27" s="43">
        <f>+J27*E26</f>
        <v>1794533</v>
      </c>
      <c r="L27" s="43">
        <v>1794533</v>
      </c>
      <c r="M27" s="43">
        <f>+L27*E26</f>
        <v>1794533</v>
      </c>
      <c r="N27" s="41">
        <v>3</v>
      </c>
      <c r="O27" s="43">
        <f>(M27+K27+I27)/N27</f>
        <v>1729688.6666666667</v>
      </c>
    </row>
    <row r="28" spans="1:15" s="2" customFormat="1" ht="57.95" customHeight="1" x14ac:dyDescent="0.25">
      <c r="A28" s="181"/>
      <c r="B28" s="80"/>
      <c r="C28" s="107"/>
      <c r="D28" s="80" t="s">
        <v>143</v>
      </c>
      <c r="E28" s="80">
        <v>5</v>
      </c>
      <c r="F28" s="80"/>
      <c r="G28" s="80" t="s">
        <v>144</v>
      </c>
      <c r="H28" s="153" t="s">
        <v>146</v>
      </c>
      <c r="I28" s="154"/>
      <c r="J28" s="153" t="s">
        <v>145</v>
      </c>
      <c r="K28" s="154"/>
      <c r="L28" s="43"/>
      <c r="M28" s="43"/>
      <c r="N28" s="41"/>
      <c r="O28" s="43"/>
    </row>
    <row r="29" spans="1:15" s="2" customFormat="1" ht="57.95" customHeight="1" x14ac:dyDescent="0.25">
      <c r="A29" s="182"/>
      <c r="B29" s="81"/>
      <c r="C29" s="108"/>
      <c r="D29" s="81"/>
      <c r="E29" s="81"/>
      <c r="F29" s="81"/>
      <c r="G29" s="81"/>
      <c r="H29" s="43">
        <v>42000</v>
      </c>
      <c r="I29" s="43">
        <f>+H29*E28</f>
        <v>210000</v>
      </c>
      <c r="J29" s="43">
        <v>45000</v>
      </c>
      <c r="K29" s="43">
        <f>+J29*E28</f>
        <v>225000</v>
      </c>
      <c r="L29" s="43"/>
      <c r="M29" s="43"/>
      <c r="N29" s="41">
        <v>2</v>
      </c>
      <c r="O29" s="43">
        <f t="shared" si="1"/>
        <v>217500</v>
      </c>
    </row>
    <row r="30" spans="1:15" s="2" customFormat="1" ht="88.5" customHeight="1" x14ac:dyDescent="0.25">
      <c r="A30" s="32"/>
      <c r="B30" s="20" t="s">
        <v>18</v>
      </c>
      <c r="C30" s="22">
        <v>49101705</v>
      </c>
      <c r="D30" s="9" t="s">
        <v>27</v>
      </c>
      <c r="E30" s="20">
        <v>400</v>
      </c>
      <c r="F30" s="20"/>
      <c r="G30" s="20" t="s">
        <v>9</v>
      </c>
      <c r="H30" s="43">
        <v>12000</v>
      </c>
      <c r="I30" s="43">
        <f>E30*H30</f>
        <v>4800000</v>
      </c>
      <c r="J30" s="43">
        <v>9273</v>
      </c>
      <c r="K30" s="43">
        <f>E30*J30</f>
        <v>3709200</v>
      </c>
      <c r="L30" s="43">
        <v>8060</v>
      </c>
      <c r="M30" s="43">
        <f>E30*L30</f>
        <v>3224000</v>
      </c>
      <c r="N30" s="41">
        <v>3</v>
      </c>
      <c r="O30" s="43">
        <f t="shared" si="1"/>
        <v>3911066.6666666665</v>
      </c>
    </row>
    <row r="31" spans="1:15" s="2" customFormat="1" ht="89.45" customHeight="1" x14ac:dyDescent="0.25">
      <c r="A31" s="30"/>
      <c r="B31" s="31">
        <v>3</v>
      </c>
      <c r="C31" s="93" t="s">
        <v>85</v>
      </c>
      <c r="D31" s="94"/>
      <c r="E31" s="101"/>
      <c r="F31" s="102"/>
      <c r="G31" s="102"/>
      <c r="H31" s="46"/>
      <c r="I31" s="46"/>
      <c r="J31" s="46"/>
      <c r="K31" s="46"/>
      <c r="L31" s="46"/>
      <c r="M31" s="46"/>
      <c r="N31" s="47"/>
      <c r="O31" s="46"/>
    </row>
    <row r="32" spans="1:15" s="2" customFormat="1" ht="108" customHeight="1" x14ac:dyDescent="0.25">
      <c r="A32" s="35"/>
      <c r="B32" s="36" t="s">
        <v>14</v>
      </c>
      <c r="C32" s="22">
        <v>53121602</v>
      </c>
      <c r="D32" s="37" t="s">
        <v>63</v>
      </c>
      <c r="E32" s="38">
        <v>240</v>
      </c>
      <c r="F32" s="38"/>
      <c r="G32" s="20" t="s">
        <v>9</v>
      </c>
      <c r="H32" s="43">
        <f>45000*1.13</f>
        <v>50849.999999999993</v>
      </c>
      <c r="I32" s="43">
        <f t="shared" ref="I32:I41" si="5">E32*H32</f>
        <v>12203999.999999998</v>
      </c>
      <c r="J32" s="43">
        <v>0</v>
      </c>
      <c r="K32" s="43">
        <v>0</v>
      </c>
      <c r="L32" s="43">
        <f>15000*1.13</f>
        <v>16950</v>
      </c>
      <c r="M32" s="43">
        <f>+L32*E32</f>
        <v>4068000</v>
      </c>
      <c r="N32" s="41">
        <v>2</v>
      </c>
      <c r="O32" s="43">
        <f>(I32+K32+M32)/N32</f>
        <v>8135999.9999999991</v>
      </c>
    </row>
    <row r="33" spans="1:15" s="2" customFormat="1" ht="112.5" customHeight="1" x14ac:dyDescent="0.25">
      <c r="A33" s="35"/>
      <c r="B33" s="105" t="s">
        <v>15</v>
      </c>
      <c r="C33" s="107">
        <v>55101507</v>
      </c>
      <c r="D33" s="109" t="s">
        <v>49</v>
      </c>
      <c r="E33" s="111">
        <v>240</v>
      </c>
      <c r="F33" s="111"/>
      <c r="G33" s="80" t="s">
        <v>9</v>
      </c>
      <c r="H33" s="133">
        <f>45000*1.13</f>
        <v>50849.999999999993</v>
      </c>
      <c r="I33" s="133">
        <f t="shared" si="5"/>
        <v>12203999.999999998</v>
      </c>
      <c r="J33" s="88" t="s">
        <v>102</v>
      </c>
      <c r="K33" s="89"/>
      <c r="L33" s="133">
        <v>0</v>
      </c>
      <c r="M33" s="133">
        <v>0</v>
      </c>
      <c r="N33" s="141">
        <v>2</v>
      </c>
      <c r="O33" s="133">
        <v>8135999.9999999991</v>
      </c>
    </row>
    <row r="34" spans="1:15" s="2" customFormat="1" ht="69" customHeight="1" x14ac:dyDescent="0.25">
      <c r="A34" s="35"/>
      <c r="B34" s="106"/>
      <c r="C34" s="108"/>
      <c r="D34" s="110"/>
      <c r="E34" s="112"/>
      <c r="F34" s="112"/>
      <c r="G34" s="81"/>
      <c r="H34" s="134"/>
      <c r="I34" s="134"/>
      <c r="J34" s="51">
        <f>27550*1.13</f>
        <v>31131.499999999996</v>
      </c>
      <c r="K34" s="43">
        <f>+J34*E33</f>
        <v>7471559.9999999991</v>
      </c>
      <c r="L34" s="134"/>
      <c r="M34" s="134"/>
      <c r="N34" s="142"/>
      <c r="O34" s="134"/>
    </row>
    <row r="35" spans="1:15" s="2" customFormat="1" ht="37.5" customHeight="1" x14ac:dyDescent="0.25">
      <c r="A35" s="35"/>
      <c r="B35" s="36" t="s">
        <v>16</v>
      </c>
      <c r="C35" s="22">
        <v>44121709</v>
      </c>
      <c r="D35" s="37" t="s">
        <v>37</v>
      </c>
      <c r="E35" s="38">
        <v>240</v>
      </c>
      <c r="F35" s="20"/>
      <c r="G35" s="20" t="s">
        <v>9</v>
      </c>
      <c r="H35" s="43">
        <f>35000*1.13</f>
        <v>39549.999999999993</v>
      </c>
      <c r="I35" s="43">
        <f t="shared" si="5"/>
        <v>9491999.9999999981</v>
      </c>
      <c r="J35" s="43">
        <v>0</v>
      </c>
      <c r="K35" s="43">
        <v>0</v>
      </c>
      <c r="L35" s="43">
        <f>19500*1.13</f>
        <v>22034.999999999996</v>
      </c>
      <c r="M35" s="43">
        <f>+L35*E35</f>
        <v>5288399.9999999991</v>
      </c>
      <c r="N35" s="41">
        <v>2</v>
      </c>
      <c r="O35" s="43">
        <f t="shared" ref="O35:O48" si="6">(I35+K35+M35)/N35</f>
        <v>7390199.9999999981</v>
      </c>
    </row>
    <row r="36" spans="1:15" s="2" customFormat="1" ht="37.5" customHeight="1" x14ac:dyDescent="0.25">
      <c r="A36" s="35"/>
      <c r="B36" s="105" t="s">
        <v>56</v>
      </c>
      <c r="C36" s="107">
        <v>49101705</v>
      </c>
      <c r="D36" s="80" t="s">
        <v>48</v>
      </c>
      <c r="E36" s="111">
        <v>240</v>
      </c>
      <c r="F36" s="80"/>
      <c r="G36" s="80" t="s">
        <v>9</v>
      </c>
      <c r="H36" s="133">
        <f>12000*1.13</f>
        <v>13559.999999999998</v>
      </c>
      <c r="I36" s="133">
        <f>E36*H36</f>
        <v>3254399.9999999995</v>
      </c>
      <c r="J36" s="84" t="s">
        <v>101</v>
      </c>
      <c r="K36" s="85"/>
      <c r="L36" s="133">
        <f>5000*1.13</f>
        <v>5649.9999999999991</v>
      </c>
      <c r="M36" s="133">
        <f>E36*L36</f>
        <v>1355999.9999999998</v>
      </c>
      <c r="N36" s="141">
        <v>3</v>
      </c>
      <c r="O36" s="133">
        <f t="shared" si="6"/>
        <v>1536799.9999999998</v>
      </c>
    </row>
    <row r="37" spans="1:15" s="2" customFormat="1" ht="34.5" customHeight="1" x14ac:dyDescent="0.25">
      <c r="A37" s="35"/>
      <c r="B37" s="106"/>
      <c r="C37" s="108"/>
      <c r="D37" s="81"/>
      <c r="E37" s="112"/>
      <c r="F37" s="81"/>
      <c r="G37" s="81"/>
      <c r="H37" s="134"/>
      <c r="I37" s="134"/>
      <c r="J37" s="43">
        <v>9273</v>
      </c>
      <c r="K37" s="43">
        <f>E36*J37</f>
        <v>2225520</v>
      </c>
      <c r="L37" s="134"/>
      <c r="M37" s="134"/>
      <c r="N37" s="142"/>
      <c r="O37" s="134"/>
    </row>
    <row r="38" spans="1:15" s="2" customFormat="1" ht="113.1" customHeight="1" x14ac:dyDescent="0.25">
      <c r="A38" s="35"/>
      <c r="B38" s="36" t="s">
        <v>57</v>
      </c>
      <c r="C38" s="22">
        <v>53121602</v>
      </c>
      <c r="D38" s="37" t="s">
        <v>64</v>
      </c>
      <c r="E38" s="38">
        <v>240</v>
      </c>
      <c r="F38" s="20"/>
      <c r="G38" s="20" t="s">
        <v>9</v>
      </c>
      <c r="H38" s="43">
        <f>45000*1.13</f>
        <v>50849.999999999993</v>
      </c>
      <c r="I38" s="43">
        <f t="shared" si="5"/>
        <v>12203999.999999998</v>
      </c>
      <c r="J38" s="43">
        <v>0</v>
      </c>
      <c r="K38" s="43">
        <v>0</v>
      </c>
      <c r="L38" s="43">
        <f>15000*1.13</f>
        <v>16950</v>
      </c>
      <c r="M38" s="43">
        <f>+L38*E38</f>
        <v>4068000</v>
      </c>
      <c r="N38" s="41">
        <v>2</v>
      </c>
      <c r="O38" s="43">
        <f t="shared" si="6"/>
        <v>8135999.9999999991</v>
      </c>
    </row>
    <row r="39" spans="1:15" s="2" customFormat="1" ht="104.1" customHeight="1" x14ac:dyDescent="0.25">
      <c r="A39" s="35"/>
      <c r="B39" s="36" t="s">
        <v>58</v>
      </c>
      <c r="C39" s="22">
        <v>55101509</v>
      </c>
      <c r="D39" s="37" t="s">
        <v>47</v>
      </c>
      <c r="E39" s="38">
        <v>240</v>
      </c>
      <c r="F39" s="20"/>
      <c r="G39" s="20" t="s">
        <v>9</v>
      </c>
      <c r="H39" s="43">
        <f>60000*1.13</f>
        <v>67800</v>
      </c>
      <c r="I39" s="43">
        <f t="shared" si="5"/>
        <v>16272000</v>
      </c>
      <c r="J39" s="43">
        <v>0</v>
      </c>
      <c r="K39" s="43">
        <v>0</v>
      </c>
      <c r="L39" s="43">
        <f>30000*1.13</f>
        <v>33900</v>
      </c>
      <c r="M39" s="43">
        <f>+L39*E39</f>
        <v>8136000</v>
      </c>
      <c r="N39" s="41">
        <v>2</v>
      </c>
      <c r="O39" s="43">
        <f t="shared" si="6"/>
        <v>12204000</v>
      </c>
    </row>
    <row r="40" spans="1:15" s="2" customFormat="1" ht="33.6" customHeight="1" x14ac:dyDescent="0.25">
      <c r="A40" s="35"/>
      <c r="B40" s="36" t="s">
        <v>59</v>
      </c>
      <c r="C40" s="22">
        <v>60102611</v>
      </c>
      <c r="D40" s="33" t="s">
        <v>38</v>
      </c>
      <c r="E40" s="38">
        <v>240</v>
      </c>
      <c r="F40" s="20"/>
      <c r="G40" s="20" t="s">
        <v>9</v>
      </c>
      <c r="H40" s="43">
        <f>105000*1.13</f>
        <v>118649.99999999999</v>
      </c>
      <c r="I40" s="43">
        <f t="shared" si="5"/>
        <v>28475999.999999996</v>
      </c>
      <c r="J40" s="43">
        <v>0</v>
      </c>
      <c r="K40" s="43">
        <v>0</v>
      </c>
      <c r="L40" s="43">
        <f>23900*1.13</f>
        <v>27006.999999999996</v>
      </c>
      <c r="M40" s="43">
        <f>+L40*E40</f>
        <v>6481679.9999999991</v>
      </c>
      <c r="N40" s="41">
        <v>2</v>
      </c>
      <c r="O40" s="43">
        <f t="shared" si="6"/>
        <v>17478839.999999996</v>
      </c>
    </row>
    <row r="41" spans="1:15" s="2" customFormat="1" ht="30.6" customHeight="1" x14ac:dyDescent="0.25">
      <c r="A41" s="35"/>
      <c r="B41" s="36" t="s">
        <v>60</v>
      </c>
      <c r="C41" s="22">
        <v>49101705</v>
      </c>
      <c r="D41" s="37" t="s">
        <v>48</v>
      </c>
      <c r="E41" s="38">
        <v>240</v>
      </c>
      <c r="F41" s="20"/>
      <c r="G41" s="20" t="s">
        <v>9</v>
      </c>
      <c r="H41" s="43">
        <f>12000*1.13</f>
        <v>13559.999999999998</v>
      </c>
      <c r="I41" s="43">
        <f t="shared" si="5"/>
        <v>3254399.9999999995</v>
      </c>
      <c r="J41" s="43">
        <f>9273*1.13</f>
        <v>10478.49</v>
      </c>
      <c r="K41" s="43">
        <f>J41*E41</f>
        <v>2514837.6</v>
      </c>
      <c r="L41" s="43">
        <f>5000*1.13</f>
        <v>5649.9999999999991</v>
      </c>
      <c r="M41" s="43">
        <f>E41*L41</f>
        <v>1355999.9999999998</v>
      </c>
      <c r="N41" s="41">
        <v>3</v>
      </c>
      <c r="O41" s="43">
        <f t="shared" si="6"/>
        <v>2375079.1999999997</v>
      </c>
    </row>
    <row r="42" spans="1:15" s="2" customFormat="1" ht="54.75" customHeight="1" x14ac:dyDescent="0.25">
      <c r="A42" s="30"/>
      <c r="B42" s="31">
        <v>4</v>
      </c>
      <c r="C42" s="93" t="s">
        <v>108</v>
      </c>
      <c r="D42" s="94"/>
      <c r="E42" s="101"/>
      <c r="F42" s="102"/>
      <c r="G42" s="102"/>
      <c r="H42" s="46"/>
      <c r="I42" s="46"/>
      <c r="J42" s="46"/>
      <c r="K42" s="46"/>
      <c r="L42" s="46"/>
      <c r="M42" s="46"/>
      <c r="N42" s="47"/>
      <c r="O42" s="47"/>
    </row>
    <row r="43" spans="1:15" s="2" customFormat="1" ht="89.45" customHeight="1" x14ac:dyDescent="0.25">
      <c r="A43" s="35"/>
      <c r="B43" s="36" t="s">
        <v>19</v>
      </c>
      <c r="C43" s="22">
        <v>60141102</v>
      </c>
      <c r="D43" s="27" t="s">
        <v>62</v>
      </c>
      <c r="E43" s="20">
        <v>790</v>
      </c>
      <c r="F43" s="20"/>
      <c r="G43" s="20" t="s">
        <v>9</v>
      </c>
      <c r="H43" s="43">
        <f>150000*1.13</f>
        <v>169499.99999999997</v>
      </c>
      <c r="I43" s="43">
        <f>E43*H43</f>
        <v>133904999.99999997</v>
      </c>
      <c r="J43" s="43">
        <v>0</v>
      </c>
      <c r="K43" s="43">
        <v>0</v>
      </c>
      <c r="L43" s="43">
        <f>137000*1.13</f>
        <v>154809.99999999997</v>
      </c>
      <c r="M43" s="43">
        <f>+L43*E43</f>
        <v>122299899.99999997</v>
      </c>
      <c r="N43" s="41">
        <v>2</v>
      </c>
      <c r="O43" s="43">
        <f t="shared" si="6"/>
        <v>128102449.99999997</v>
      </c>
    </row>
    <row r="44" spans="1:15" s="2" customFormat="1" ht="57" customHeight="1" x14ac:dyDescent="0.25">
      <c r="A44" s="30"/>
      <c r="B44" s="31">
        <v>5</v>
      </c>
      <c r="C44" s="104" t="s">
        <v>28</v>
      </c>
      <c r="D44" s="104"/>
      <c r="E44" s="101"/>
      <c r="F44" s="102"/>
      <c r="G44" s="102"/>
      <c r="H44" s="46"/>
      <c r="I44" s="46"/>
      <c r="J44" s="46"/>
      <c r="K44" s="46"/>
      <c r="L44" s="46"/>
      <c r="M44" s="46"/>
      <c r="N44" s="47"/>
      <c r="O44" s="47"/>
    </row>
    <row r="45" spans="1:15" s="2" customFormat="1" ht="89.45" customHeight="1" x14ac:dyDescent="0.25">
      <c r="A45" s="35"/>
      <c r="B45" s="36" t="s">
        <v>20</v>
      </c>
      <c r="C45" s="22">
        <v>72153613</v>
      </c>
      <c r="D45" s="9" t="s">
        <v>86</v>
      </c>
      <c r="E45" s="20">
        <v>6</v>
      </c>
      <c r="F45" s="20"/>
      <c r="G45" s="20" t="s">
        <v>9</v>
      </c>
      <c r="H45" s="43">
        <v>2800000</v>
      </c>
      <c r="I45" s="43">
        <f t="shared" ref="I45:I55" si="7">E45*H45</f>
        <v>16800000</v>
      </c>
      <c r="J45" s="43">
        <v>0</v>
      </c>
      <c r="K45" s="43">
        <v>0</v>
      </c>
      <c r="L45" s="151">
        <v>2066000</v>
      </c>
      <c r="M45" s="151">
        <f>+L45*E45</f>
        <v>12396000</v>
      </c>
      <c r="N45" s="41">
        <v>2</v>
      </c>
      <c r="O45" s="43">
        <f t="shared" si="6"/>
        <v>14598000</v>
      </c>
    </row>
    <row r="46" spans="1:15" s="2" customFormat="1" ht="110.25" customHeight="1" x14ac:dyDescent="0.25">
      <c r="A46" s="35"/>
      <c r="B46" s="36" t="s">
        <v>21</v>
      </c>
      <c r="C46" s="22">
        <v>90111504</v>
      </c>
      <c r="D46" s="9" t="s">
        <v>135</v>
      </c>
      <c r="E46" s="20">
        <v>6</v>
      </c>
      <c r="F46" s="20"/>
      <c r="G46" s="20" t="s">
        <v>9</v>
      </c>
      <c r="H46" s="43">
        <v>4500000</v>
      </c>
      <c r="I46" s="43">
        <f t="shared" si="7"/>
        <v>27000000</v>
      </c>
      <c r="J46" s="43">
        <v>0</v>
      </c>
      <c r="K46" s="43">
        <v>0</v>
      </c>
      <c r="L46" s="152"/>
      <c r="M46" s="152"/>
      <c r="N46" s="41">
        <v>2</v>
      </c>
      <c r="O46" s="43">
        <f t="shared" si="6"/>
        <v>13500000</v>
      </c>
    </row>
    <row r="47" spans="1:15" s="2" customFormat="1" ht="58.5" customHeight="1" x14ac:dyDescent="0.25">
      <c r="A47" s="77"/>
      <c r="B47" s="75"/>
      <c r="C47" s="70"/>
      <c r="D47" s="80" t="s">
        <v>157</v>
      </c>
      <c r="E47" s="80">
        <v>480</v>
      </c>
      <c r="F47" s="80"/>
      <c r="G47" s="80" t="s">
        <v>9</v>
      </c>
      <c r="H47" s="157" t="s">
        <v>158</v>
      </c>
      <c r="I47" s="178"/>
      <c r="J47" s="178" t="s">
        <v>159</v>
      </c>
      <c r="K47" s="178"/>
      <c r="L47" s="179"/>
      <c r="M47" s="180"/>
      <c r="N47" s="69"/>
      <c r="O47" s="71"/>
    </row>
    <row r="48" spans="1:15" s="2" customFormat="1" ht="52.5" customHeight="1" x14ac:dyDescent="0.25">
      <c r="A48" s="77"/>
      <c r="B48" s="75"/>
      <c r="C48" s="70"/>
      <c r="D48" s="81"/>
      <c r="E48" s="81"/>
      <c r="F48" s="81"/>
      <c r="G48" s="81"/>
      <c r="H48" s="58">
        <v>8800</v>
      </c>
      <c r="I48" s="59">
        <f>+H48*E47</f>
        <v>4224000</v>
      </c>
      <c r="J48" s="58">
        <v>28250</v>
      </c>
      <c r="K48" s="59">
        <f>+J48*E47</f>
        <v>13560000</v>
      </c>
      <c r="L48" s="76"/>
      <c r="M48" s="76"/>
      <c r="N48" s="69">
        <v>2</v>
      </c>
      <c r="O48" s="43">
        <f t="shared" si="6"/>
        <v>8892000</v>
      </c>
    </row>
    <row r="49" spans="1:15" s="2" customFormat="1" ht="34.5" customHeight="1" x14ac:dyDescent="0.25">
      <c r="A49" s="113"/>
      <c r="B49" s="105" t="s">
        <v>87</v>
      </c>
      <c r="C49" s="107">
        <v>86141603</v>
      </c>
      <c r="D49" s="80" t="s">
        <v>132</v>
      </c>
      <c r="E49" s="80">
        <v>480</v>
      </c>
      <c r="F49" s="80"/>
      <c r="G49" s="80" t="s">
        <v>80</v>
      </c>
      <c r="H49" s="161" t="s">
        <v>109</v>
      </c>
      <c r="I49" s="162"/>
      <c r="J49" s="161" t="s">
        <v>110</v>
      </c>
      <c r="K49" s="162"/>
      <c r="L49" s="133">
        <v>0</v>
      </c>
      <c r="M49" s="133">
        <v>0</v>
      </c>
      <c r="N49" s="141">
        <v>2</v>
      </c>
      <c r="O49" s="133">
        <f>(I50+K50+M49)/N49</f>
        <v>26006400</v>
      </c>
    </row>
    <row r="50" spans="1:15" s="2" customFormat="1" ht="55.5" customHeight="1" x14ac:dyDescent="0.25">
      <c r="A50" s="114"/>
      <c r="B50" s="106"/>
      <c r="C50" s="108"/>
      <c r="D50" s="81"/>
      <c r="E50" s="81"/>
      <c r="F50" s="81"/>
      <c r="G50" s="81"/>
      <c r="H50" s="56">
        <v>55860</v>
      </c>
      <c r="I50" s="56">
        <f>E49*H50</f>
        <v>26812800</v>
      </c>
      <c r="J50" s="43">
        <v>52500</v>
      </c>
      <c r="K50" s="43">
        <f>+J50*E49</f>
        <v>25200000</v>
      </c>
      <c r="L50" s="134"/>
      <c r="M50" s="134"/>
      <c r="N50" s="142"/>
      <c r="O50" s="134"/>
    </row>
    <row r="51" spans="1:15" s="2" customFormat="1" ht="50.25" customHeight="1" x14ac:dyDescent="0.25">
      <c r="A51" s="53"/>
      <c r="B51" s="105" t="s">
        <v>88</v>
      </c>
      <c r="C51" s="139">
        <v>20102301</v>
      </c>
      <c r="D51" s="80" t="s">
        <v>84</v>
      </c>
      <c r="E51" s="80">
        <v>12</v>
      </c>
      <c r="F51" s="80"/>
      <c r="G51" s="80">
        <v>480</v>
      </c>
      <c r="H51" s="169" t="s">
        <v>100</v>
      </c>
      <c r="I51" s="169"/>
      <c r="J51" s="133">
        <v>0</v>
      </c>
      <c r="K51" s="133">
        <v>0</v>
      </c>
      <c r="L51" s="133">
        <f>950000*1.13</f>
        <v>1073500</v>
      </c>
      <c r="M51" s="133">
        <f>+L51*E51</f>
        <v>12882000</v>
      </c>
      <c r="N51" s="141">
        <v>2</v>
      </c>
      <c r="O51" s="133">
        <f>(I52+K51+M51)/N51</f>
        <v>12407400</v>
      </c>
    </row>
    <row r="52" spans="1:15" s="2" customFormat="1" ht="46.5" customHeight="1" x14ac:dyDescent="0.25">
      <c r="A52" s="32"/>
      <c r="B52" s="106"/>
      <c r="C52" s="140"/>
      <c r="D52" s="81"/>
      <c r="E52" s="81"/>
      <c r="F52" s="81"/>
      <c r="G52" s="81"/>
      <c r="H52" s="43">
        <f>880000*1.13</f>
        <v>994399.99999999988</v>
      </c>
      <c r="I52" s="43">
        <f>E51*H52</f>
        <v>11932799.999999998</v>
      </c>
      <c r="J52" s="134"/>
      <c r="K52" s="134"/>
      <c r="L52" s="134"/>
      <c r="M52" s="134"/>
      <c r="N52" s="142"/>
      <c r="O52" s="134"/>
    </row>
    <row r="53" spans="1:15" s="2" customFormat="1" ht="96" customHeight="1" x14ac:dyDescent="0.25">
      <c r="A53" s="32"/>
      <c r="B53" s="20" t="s">
        <v>89</v>
      </c>
      <c r="C53" s="22">
        <v>90101802</v>
      </c>
      <c r="D53" s="9" t="s">
        <v>161</v>
      </c>
      <c r="E53" s="7">
        <v>480</v>
      </c>
      <c r="F53" s="20"/>
      <c r="G53" s="20" t="s">
        <v>61</v>
      </c>
      <c r="H53" s="43">
        <f>13000*1.13</f>
        <v>14689.999999999998</v>
      </c>
      <c r="I53" s="43">
        <f t="shared" ref="I53" si="8">E53*H53</f>
        <v>7051199.9999999991</v>
      </c>
      <c r="J53" s="43">
        <f>9263*1.13</f>
        <v>10467.189999999999</v>
      </c>
      <c r="K53" s="43">
        <f>E53*J53</f>
        <v>5024251.1999999993</v>
      </c>
      <c r="L53" s="43">
        <f>10000*1.13</f>
        <v>11299.999999999998</v>
      </c>
      <c r="M53" s="43">
        <f>+L53*E53</f>
        <v>5423999.9999999991</v>
      </c>
      <c r="N53" s="41">
        <v>3</v>
      </c>
      <c r="O53" s="43">
        <f t="shared" ref="O53" si="9">(I53+K53+M53)/N53</f>
        <v>5833150.3999999994</v>
      </c>
    </row>
    <row r="54" spans="1:15" s="2" customFormat="1" ht="116.25" customHeight="1" x14ac:dyDescent="0.25">
      <c r="A54" s="32"/>
      <c r="B54" s="20" t="s">
        <v>89</v>
      </c>
      <c r="C54" s="22">
        <v>90101802</v>
      </c>
      <c r="D54" s="9" t="s">
        <v>162</v>
      </c>
      <c r="E54" s="7">
        <v>480</v>
      </c>
      <c r="F54" s="20"/>
      <c r="G54" s="20" t="s">
        <v>61</v>
      </c>
      <c r="H54" s="43">
        <f>13000*1.13</f>
        <v>14689.999999999998</v>
      </c>
      <c r="I54" s="43">
        <f t="shared" si="7"/>
        <v>7051199.9999999991</v>
      </c>
      <c r="J54" s="43">
        <f>9263*1.13</f>
        <v>10467.189999999999</v>
      </c>
      <c r="K54" s="43">
        <f>E54*J54</f>
        <v>5024251.1999999993</v>
      </c>
      <c r="L54" s="43">
        <f>10000*1.13</f>
        <v>11299.999999999998</v>
      </c>
      <c r="M54" s="43">
        <f>+L54*E54</f>
        <v>5423999.9999999991</v>
      </c>
      <c r="N54" s="41">
        <v>3</v>
      </c>
      <c r="O54" s="43">
        <f t="shared" ref="O54:O57" si="10">(I54+K54+M54)/N54</f>
        <v>5833150.3999999994</v>
      </c>
    </row>
    <row r="55" spans="1:15" s="2" customFormat="1" ht="201.2" customHeight="1" x14ac:dyDescent="0.25">
      <c r="A55" s="32"/>
      <c r="B55" s="7" t="s">
        <v>90</v>
      </c>
      <c r="C55" s="22">
        <v>55101510</v>
      </c>
      <c r="D55" s="8" t="s">
        <v>96</v>
      </c>
      <c r="E55" s="7">
        <v>480</v>
      </c>
      <c r="F55" s="8"/>
      <c r="G55" s="8" t="s">
        <v>79</v>
      </c>
      <c r="H55" s="43">
        <f>45000*1.13</f>
        <v>50849.999999999993</v>
      </c>
      <c r="I55" s="43">
        <f t="shared" si="7"/>
        <v>24407999.999999996</v>
      </c>
      <c r="J55" s="43">
        <v>0</v>
      </c>
      <c r="K55" s="43">
        <v>0</v>
      </c>
      <c r="L55" s="43">
        <f>15000*1.13</f>
        <v>16950</v>
      </c>
      <c r="M55" s="43">
        <f>+L55*E55</f>
        <v>8136000</v>
      </c>
      <c r="N55" s="41">
        <v>2</v>
      </c>
      <c r="O55" s="43">
        <f t="shared" si="10"/>
        <v>16271999.999999998</v>
      </c>
    </row>
    <row r="56" spans="1:15" s="2" customFormat="1" ht="49.5" customHeight="1" x14ac:dyDescent="0.25">
      <c r="A56" s="30"/>
      <c r="B56" s="31">
        <v>6</v>
      </c>
      <c r="C56" s="104" t="s">
        <v>29</v>
      </c>
      <c r="D56" s="104"/>
      <c r="E56" s="101"/>
      <c r="F56" s="102"/>
      <c r="G56" s="102"/>
      <c r="H56" s="46"/>
      <c r="I56" s="46"/>
      <c r="J56" s="46"/>
      <c r="K56" s="46"/>
      <c r="L56" s="46"/>
      <c r="M56" s="46"/>
      <c r="N56" s="47"/>
      <c r="O56" s="47"/>
    </row>
    <row r="57" spans="1:15" s="2" customFormat="1" ht="89.45" customHeight="1" thickBot="1" x14ac:dyDescent="0.3">
      <c r="A57" s="32"/>
      <c r="B57" s="20" t="s">
        <v>66</v>
      </c>
      <c r="C57" s="38">
        <v>82101502</v>
      </c>
      <c r="D57" s="9" t="s">
        <v>50</v>
      </c>
      <c r="E57" s="52">
        <v>300</v>
      </c>
      <c r="F57" s="36"/>
      <c r="G57" s="20" t="s">
        <v>9</v>
      </c>
      <c r="H57" s="43">
        <f>4500+1.13</f>
        <v>4501.13</v>
      </c>
      <c r="I57" s="43">
        <f>E57*H57</f>
        <v>1350339</v>
      </c>
      <c r="J57" s="43">
        <f>5029*1.13</f>
        <v>5682.7699999999995</v>
      </c>
      <c r="K57" s="43">
        <f>J57*E57</f>
        <v>1704830.9999999998</v>
      </c>
      <c r="L57" s="43">
        <f>700*1.13</f>
        <v>790.99999999999989</v>
      </c>
      <c r="M57" s="43">
        <f>E57*L57</f>
        <v>237299.99999999997</v>
      </c>
      <c r="N57" s="41">
        <v>3</v>
      </c>
      <c r="O57" s="43">
        <f t="shared" si="10"/>
        <v>1097490</v>
      </c>
    </row>
    <row r="58" spans="1:15" s="2" customFormat="1" ht="86.25" customHeight="1" x14ac:dyDescent="0.25">
      <c r="A58" s="53"/>
      <c r="B58" s="57"/>
      <c r="C58" s="55"/>
      <c r="D58" s="80" t="s">
        <v>113</v>
      </c>
      <c r="E58" s="80">
        <v>10</v>
      </c>
      <c r="F58" s="80"/>
      <c r="G58" s="170" t="s">
        <v>9</v>
      </c>
      <c r="H58" s="172" t="s">
        <v>142</v>
      </c>
      <c r="I58" s="173"/>
      <c r="J58" s="173"/>
      <c r="K58" s="173"/>
      <c r="L58" s="173"/>
      <c r="M58" s="174"/>
      <c r="N58" s="41"/>
      <c r="O58" s="43"/>
    </row>
    <row r="59" spans="1:15" s="2" customFormat="1" ht="68.25" customHeight="1" x14ac:dyDescent="0.25">
      <c r="A59" s="53"/>
      <c r="B59" s="57" t="s">
        <v>112</v>
      </c>
      <c r="C59" s="55"/>
      <c r="D59" s="81"/>
      <c r="E59" s="81"/>
      <c r="F59" s="81"/>
      <c r="G59" s="171"/>
      <c r="H59" s="58">
        <v>405000</v>
      </c>
      <c r="I59" s="59">
        <f>+H59*E58</f>
        <v>4050000</v>
      </c>
      <c r="J59" s="43">
        <v>460650</v>
      </c>
      <c r="K59" s="43">
        <f>+J59*E58</f>
        <v>4606500</v>
      </c>
      <c r="L59" s="43">
        <v>410000</v>
      </c>
      <c r="M59" s="43">
        <f>+L59*E58</f>
        <v>4100000</v>
      </c>
      <c r="N59" s="41">
        <v>3</v>
      </c>
      <c r="O59" s="43">
        <f t="shared" ref="O59:O81" si="11">(I59+K59+M59)/N59</f>
        <v>4252166.666666667</v>
      </c>
    </row>
    <row r="60" spans="1:15" s="2" customFormat="1" ht="68.25" customHeight="1" x14ac:dyDescent="0.25">
      <c r="A60" s="53"/>
      <c r="B60" s="57"/>
      <c r="C60" s="55"/>
      <c r="D60" s="60" t="s">
        <v>114</v>
      </c>
      <c r="E60" s="54">
        <v>5</v>
      </c>
      <c r="F60" s="54"/>
      <c r="G60" s="54" t="s">
        <v>115</v>
      </c>
      <c r="H60" s="58">
        <v>19800</v>
      </c>
      <c r="I60" s="59">
        <f>+H60*E60</f>
        <v>99000</v>
      </c>
      <c r="J60" s="43">
        <v>18834</v>
      </c>
      <c r="K60" s="43">
        <f t="shared" ref="K60:K69" si="12">+J60*E60</f>
        <v>94170</v>
      </c>
      <c r="L60" s="43">
        <v>16000</v>
      </c>
      <c r="M60" s="43">
        <f t="shared" ref="M60:M69" si="13">+L60*E60</f>
        <v>80000</v>
      </c>
      <c r="N60" s="41">
        <v>3</v>
      </c>
      <c r="O60" s="43">
        <f t="shared" si="11"/>
        <v>91056.666666666672</v>
      </c>
    </row>
    <row r="61" spans="1:15" s="2" customFormat="1" ht="68.25" customHeight="1" x14ac:dyDescent="0.25">
      <c r="A61" s="53"/>
      <c r="B61" s="57"/>
      <c r="C61" s="55"/>
      <c r="D61" s="60" t="s">
        <v>116</v>
      </c>
      <c r="E61" s="54">
        <v>20</v>
      </c>
      <c r="F61" s="54"/>
      <c r="G61" s="54" t="s">
        <v>9</v>
      </c>
      <c r="H61" s="58">
        <v>18000</v>
      </c>
      <c r="I61" s="59">
        <f>+H61*E61</f>
        <v>360000</v>
      </c>
      <c r="J61" s="43">
        <v>16221</v>
      </c>
      <c r="K61" s="43">
        <f t="shared" si="12"/>
        <v>324420</v>
      </c>
      <c r="L61" s="43">
        <v>15800</v>
      </c>
      <c r="M61" s="43">
        <f t="shared" si="13"/>
        <v>316000</v>
      </c>
      <c r="N61" s="41">
        <v>3</v>
      </c>
      <c r="O61" s="43">
        <f t="shared" si="11"/>
        <v>333473.33333333331</v>
      </c>
    </row>
    <row r="62" spans="1:15" s="2" customFormat="1" ht="68.25" customHeight="1" x14ac:dyDescent="0.25">
      <c r="A62" s="53"/>
      <c r="B62" s="57"/>
      <c r="C62" s="55"/>
      <c r="D62" s="96" t="s">
        <v>117</v>
      </c>
      <c r="E62" s="80">
        <v>350</v>
      </c>
      <c r="F62" s="80"/>
      <c r="G62" s="80" t="s">
        <v>9</v>
      </c>
      <c r="H62" s="175" t="s">
        <v>155</v>
      </c>
      <c r="I62" s="176"/>
      <c r="J62" s="176"/>
      <c r="K62" s="176"/>
      <c r="L62" s="176"/>
      <c r="M62" s="177"/>
      <c r="N62" s="41"/>
      <c r="O62" s="43"/>
    </row>
    <row r="63" spans="1:15" s="2" customFormat="1" ht="68.25" customHeight="1" x14ac:dyDescent="0.25">
      <c r="A63" s="53"/>
      <c r="B63" s="57"/>
      <c r="C63" s="55"/>
      <c r="D63" s="97"/>
      <c r="E63" s="81"/>
      <c r="F63" s="81"/>
      <c r="G63" s="81"/>
      <c r="H63" s="58"/>
      <c r="I63" s="59"/>
      <c r="J63" s="43">
        <f>21938</f>
        <v>21938</v>
      </c>
      <c r="K63" s="43">
        <f>+J63*E62</f>
        <v>7678300</v>
      </c>
      <c r="L63" s="43">
        <f>18000*1.13</f>
        <v>20339.999999999996</v>
      </c>
      <c r="M63" s="43">
        <f>+L63*E62</f>
        <v>7118999.9999999991</v>
      </c>
      <c r="N63" s="41">
        <v>2</v>
      </c>
      <c r="O63" s="43">
        <f t="shared" si="11"/>
        <v>7398650</v>
      </c>
    </row>
    <row r="64" spans="1:15" s="2" customFormat="1" ht="68.25" customHeight="1" x14ac:dyDescent="0.25">
      <c r="A64" s="53"/>
      <c r="B64" s="57"/>
      <c r="C64" s="55"/>
      <c r="D64" s="65" t="s">
        <v>118</v>
      </c>
      <c r="E64" s="54">
        <v>350</v>
      </c>
      <c r="F64" s="54"/>
      <c r="G64" s="54" t="s">
        <v>9</v>
      </c>
      <c r="H64" s="58">
        <f>29900</f>
        <v>29900</v>
      </c>
      <c r="I64" s="59">
        <f t="shared" ref="I64:I71" si="14">+H64*E64</f>
        <v>10465000</v>
      </c>
      <c r="J64" s="43">
        <f>36140</f>
        <v>36140</v>
      </c>
      <c r="K64" s="43">
        <f t="shared" si="12"/>
        <v>12649000</v>
      </c>
      <c r="L64" s="43">
        <f>25000*1.13</f>
        <v>28249.999999999996</v>
      </c>
      <c r="M64" s="43">
        <f t="shared" si="13"/>
        <v>9887499.9999999981</v>
      </c>
      <c r="N64" s="41">
        <v>3</v>
      </c>
      <c r="O64" s="43">
        <f t="shared" si="11"/>
        <v>11000500</v>
      </c>
    </row>
    <row r="65" spans="1:15" s="2" customFormat="1" ht="68.25" customHeight="1" x14ac:dyDescent="0.25">
      <c r="A65" s="53"/>
      <c r="B65" s="57"/>
      <c r="C65" s="55"/>
      <c r="D65" s="65" t="s">
        <v>119</v>
      </c>
      <c r="E65" s="54">
        <v>350</v>
      </c>
      <c r="F65" s="54"/>
      <c r="G65" s="54" t="s">
        <v>9</v>
      </c>
      <c r="H65" s="58">
        <v>17000</v>
      </c>
      <c r="I65" s="59">
        <f t="shared" si="14"/>
        <v>5950000</v>
      </c>
      <c r="J65" s="43">
        <f>22241</f>
        <v>22241</v>
      </c>
      <c r="K65" s="43">
        <f t="shared" si="12"/>
        <v>7784350</v>
      </c>
      <c r="L65" s="43">
        <f>18000*1.13</f>
        <v>20339.999999999996</v>
      </c>
      <c r="M65" s="43">
        <f t="shared" si="13"/>
        <v>7118999.9999999991</v>
      </c>
      <c r="N65" s="41">
        <v>3</v>
      </c>
      <c r="O65" s="43">
        <f t="shared" si="11"/>
        <v>6951116.666666667</v>
      </c>
    </row>
    <row r="66" spans="1:15" s="2" customFormat="1" ht="114.75" customHeight="1" x14ac:dyDescent="0.25">
      <c r="A66" s="53"/>
      <c r="B66" s="57"/>
      <c r="C66" s="55"/>
      <c r="D66" s="65" t="s">
        <v>120</v>
      </c>
      <c r="E66" s="54">
        <v>1</v>
      </c>
      <c r="F66" s="54"/>
      <c r="G66" s="54" t="s">
        <v>9</v>
      </c>
      <c r="H66" s="59">
        <f>6225000</f>
        <v>6225000</v>
      </c>
      <c r="I66" s="59">
        <f t="shared" si="14"/>
        <v>6225000</v>
      </c>
      <c r="J66" s="59">
        <f>8910608</f>
        <v>8910608</v>
      </c>
      <c r="K66" s="59">
        <f t="shared" si="12"/>
        <v>8910608</v>
      </c>
      <c r="L66" s="59">
        <v>5860000</v>
      </c>
      <c r="M66" s="43">
        <f t="shared" si="13"/>
        <v>5860000</v>
      </c>
      <c r="N66" s="41">
        <v>3</v>
      </c>
      <c r="O66" s="43">
        <f t="shared" si="11"/>
        <v>6998536</v>
      </c>
    </row>
    <row r="67" spans="1:15" s="2" customFormat="1" ht="68.25" customHeight="1" x14ac:dyDescent="0.25">
      <c r="A67" s="53"/>
      <c r="B67" s="57"/>
      <c r="C67" s="55"/>
      <c r="D67" s="65" t="s">
        <v>121</v>
      </c>
      <c r="E67" s="54">
        <v>1</v>
      </c>
      <c r="F67" s="54"/>
      <c r="G67" s="54" t="s">
        <v>122</v>
      </c>
      <c r="H67" s="58">
        <v>1300000</v>
      </c>
      <c r="I67" s="59">
        <f t="shared" si="14"/>
        <v>1300000</v>
      </c>
      <c r="J67" s="43">
        <v>2380165</v>
      </c>
      <c r="K67" s="59">
        <f t="shared" si="12"/>
        <v>2380165</v>
      </c>
      <c r="L67" s="43">
        <v>1940000</v>
      </c>
      <c r="M67" s="43">
        <f t="shared" si="13"/>
        <v>1940000</v>
      </c>
      <c r="N67" s="41">
        <v>3</v>
      </c>
      <c r="O67" s="43">
        <f t="shared" si="11"/>
        <v>1873388.3333333333</v>
      </c>
    </row>
    <row r="68" spans="1:15" s="2" customFormat="1" ht="115.5" x14ac:dyDescent="0.25">
      <c r="A68" s="53"/>
      <c r="B68" s="57"/>
      <c r="C68" s="55"/>
      <c r="D68" s="65" t="s">
        <v>123</v>
      </c>
      <c r="E68" s="54">
        <v>1</v>
      </c>
      <c r="F68" s="54"/>
      <c r="G68" s="54" t="s">
        <v>122</v>
      </c>
      <c r="H68" s="61">
        <v>2900000</v>
      </c>
      <c r="I68" s="59">
        <f t="shared" si="14"/>
        <v>2900000</v>
      </c>
      <c r="J68" s="61">
        <v>1351695</v>
      </c>
      <c r="K68" s="59">
        <f t="shared" si="12"/>
        <v>1351695</v>
      </c>
      <c r="L68" s="62">
        <v>1200000</v>
      </c>
      <c r="M68" s="43">
        <f t="shared" si="13"/>
        <v>1200000</v>
      </c>
      <c r="N68" s="41">
        <v>3</v>
      </c>
      <c r="O68" s="43">
        <f t="shared" si="11"/>
        <v>1817231.6666666667</v>
      </c>
    </row>
    <row r="69" spans="1:15" s="2" customFormat="1" ht="16.5" x14ac:dyDescent="0.25">
      <c r="A69" s="53"/>
      <c r="B69" s="57"/>
      <c r="C69" s="55"/>
      <c r="D69" s="65" t="s">
        <v>124</v>
      </c>
      <c r="E69" s="54">
        <v>1</v>
      </c>
      <c r="F69" s="54"/>
      <c r="G69" s="54" t="s">
        <v>122</v>
      </c>
      <c r="H69" s="61">
        <v>2100000</v>
      </c>
      <c r="I69" s="59">
        <f t="shared" si="14"/>
        <v>2100000</v>
      </c>
      <c r="J69" s="61">
        <v>2725800</v>
      </c>
      <c r="K69" s="59">
        <f t="shared" si="12"/>
        <v>2725800</v>
      </c>
      <c r="L69" s="62">
        <v>2400000</v>
      </c>
      <c r="M69" s="43">
        <f t="shared" si="13"/>
        <v>2400000</v>
      </c>
      <c r="N69" s="41">
        <v>3</v>
      </c>
      <c r="O69" s="43">
        <f t="shared" si="11"/>
        <v>2408600</v>
      </c>
    </row>
    <row r="70" spans="1:15" s="2" customFormat="1" ht="49.5" x14ac:dyDescent="0.25">
      <c r="A70" s="35"/>
      <c r="B70" s="36" t="s">
        <v>67</v>
      </c>
      <c r="C70" s="15"/>
      <c r="D70" s="65" t="s">
        <v>125</v>
      </c>
      <c r="E70" s="20">
        <v>1</v>
      </c>
      <c r="F70" s="20"/>
      <c r="G70" s="54" t="s">
        <v>122</v>
      </c>
      <c r="H70" s="61">
        <v>2700000</v>
      </c>
      <c r="I70" s="59">
        <f t="shared" si="14"/>
        <v>2700000</v>
      </c>
      <c r="J70" s="61">
        <v>1989520</v>
      </c>
      <c r="K70" s="59">
        <f>+J70*E70</f>
        <v>1989520</v>
      </c>
      <c r="L70" s="62">
        <v>1875000</v>
      </c>
      <c r="M70" s="43">
        <f>+L70*E70</f>
        <v>1875000</v>
      </c>
      <c r="N70" s="41">
        <v>3</v>
      </c>
      <c r="O70" s="43">
        <f t="shared" si="11"/>
        <v>2188173.3333333335</v>
      </c>
    </row>
    <row r="71" spans="1:15" s="2" customFormat="1" ht="214.5" x14ac:dyDescent="0.25">
      <c r="A71" s="53"/>
      <c r="B71" s="57"/>
      <c r="C71" s="55"/>
      <c r="D71" s="66" t="s">
        <v>126</v>
      </c>
      <c r="E71" s="54">
        <v>1</v>
      </c>
      <c r="F71" s="54"/>
      <c r="G71" s="54" t="s">
        <v>122</v>
      </c>
      <c r="H71" s="61">
        <f>2350000</f>
        <v>2350000</v>
      </c>
      <c r="I71" s="59">
        <f t="shared" si="14"/>
        <v>2350000</v>
      </c>
      <c r="J71" s="61">
        <v>2986586</v>
      </c>
      <c r="K71" s="59">
        <f>+J71*E71</f>
        <v>2986586</v>
      </c>
      <c r="L71" s="62">
        <v>2500000</v>
      </c>
      <c r="M71" s="43">
        <f>+L71*E71</f>
        <v>2500000</v>
      </c>
      <c r="N71" s="41">
        <v>3</v>
      </c>
      <c r="O71" s="43">
        <f t="shared" si="11"/>
        <v>2612195.3333333335</v>
      </c>
    </row>
    <row r="72" spans="1:15" s="2" customFormat="1" ht="89.45" customHeight="1" x14ac:dyDescent="0.25">
      <c r="A72" s="30"/>
      <c r="B72" s="31">
        <v>7</v>
      </c>
      <c r="C72" s="93" t="s">
        <v>30</v>
      </c>
      <c r="D72" s="94"/>
      <c r="E72" s="95"/>
      <c r="F72" s="95"/>
      <c r="G72" s="95"/>
      <c r="H72" s="169" t="s">
        <v>100</v>
      </c>
      <c r="I72" s="169"/>
      <c r="J72" s="84" t="s">
        <v>101</v>
      </c>
      <c r="K72" s="85"/>
      <c r="L72" s="88" t="s">
        <v>102</v>
      </c>
      <c r="M72" s="89"/>
      <c r="N72" s="47"/>
      <c r="O72" s="47"/>
    </row>
    <row r="73" spans="1:15" s="2" customFormat="1" ht="193.7" customHeight="1" x14ac:dyDescent="0.25">
      <c r="A73" s="35"/>
      <c r="B73" s="20" t="s">
        <v>68</v>
      </c>
      <c r="C73" s="20">
        <v>82121500</v>
      </c>
      <c r="D73" s="33" t="s">
        <v>165</v>
      </c>
      <c r="E73" s="20">
        <v>500</v>
      </c>
      <c r="F73" s="20"/>
      <c r="G73" s="20" t="s">
        <v>9</v>
      </c>
      <c r="H73" s="43">
        <f>60000*1.13</f>
        <v>67800</v>
      </c>
      <c r="I73" s="43">
        <f>E73*H73</f>
        <v>33900000</v>
      </c>
      <c r="J73" s="43">
        <v>0</v>
      </c>
      <c r="K73" s="43">
        <v>0</v>
      </c>
      <c r="L73" s="43">
        <f>31132*1.13</f>
        <v>35179.159999999996</v>
      </c>
      <c r="M73" s="43">
        <f>+L73*E73</f>
        <v>17589579.999999996</v>
      </c>
      <c r="N73" s="41">
        <v>2</v>
      </c>
      <c r="O73" s="43">
        <f t="shared" si="11"/>
        <v>25744790</v>
      </c>
    </row>
    <row r="74" spans="1:15" s="2" customFormat="1" ht="51" customHeight="1" x14ac:dyDescent="0.25">
      <c r="A74" s="11"/>
      <c r="B74" s="12"/>
      <c r="C74" s="13">
        <v>8</v>
      </c>
      <c r="D74" s="13" t="s">
        <v>12</v>
      </c>
      <c r="E74" s="12"/>
      <c r="F74" s="12"/>
      <c r="G74" s="12"/>
      <c r="H74" s="86"/>
      <c r="I74" s="87"/>
      <c r="J74" s="88" t="s">
        <v>102</v>
      </c>
      <c r="K74" s="89"/>
      <c r="L74" s="46"/>
      <c r="M74" s="46"/>
      <c r="N74" s="47"/>
      <c r="O74" s="47"/>
    </row>
    <row r="75" spans="1:15" s="2" customFormat="1" ht="126.75" customHeight="1" x14ac:dyDescent="0.25">
      <c r="A75" s="6"/>
      <c r="B75" s="7" t="s">
        <v>69</v>
      </c>
      <c r="C75" s="22">
        <v>80101604</v>
      </c>
      <c r="D75" s="9" t="s">
        <v>127</v>
      </c>
      <c r="E75" s="7">
        <v>1</v>
      </c>
      <c r="F75" s="7">
        <v>6</v>
      </c>
      <c r="G75" s="7" t="s">
        <v>83</v>
      </c>
      <c r="H75" s="43">
        <f>7200000*1.13</f>
        <v>8135999.9999999991</v>
      </c>
      <c r="I75" s="43">
        <f t="shared" ref="I75:I80" si="15">F75*H75*E75</f>
        <v>48815999.999999993</v>
      </c>
      <c r="J75" s="50">
        <f>6813945*1.13</f>
        <v>7699757.8499999996</v>
      </c>
      <c r="K75" s="43">
        <f>+J75*F75</f>
        <v>46198547.099999994</v>
      </c>
      <c r="L75" s="43">
        <v>0</v>
      </c>
      <c r="M75" s="43">
        <v>0</v>
      </c>
      <c r="N75" s="41">
        <v>2</v>
      </c>
      <c r="O75" s="43">
        <f t="shared" si="11"/>
        <v>47507273.549999997</v>
      </c>
    </row>
    <row r="76" spans="1:15" s="2" customFormat="1" ht="42.75" x14ac:dyDescent="0.25">
      <c r="A76" s="6"/>
      <c r="B76" s="7" t="s">
        <v>70</v>
      </c>
      <c r="C76" s="15">
        <v>80111600</v>
      </c>
      <c r="D76" s="9" t="s">
        <v>128</v>
      </c>
      <c r="E76" s="7">
        <v>1</v>
      </c>
      <c r="F76" s="7">
        <v>6</v>
      </c>
      <c r="G76" s="7" t="s">
        <v>83</v>
      </c>
      <c r="H76" s="43">
        <f>2500000*1.13</f>
        <v>2824999.9999999995</v>
      </c>
      <c r="I76" s="43">
        <f>F76*H76*E76</f>
        <v>16949999.999999996</v>
      </c>
      <c r="J76" s="50">
        <f>1453641*1.13</f>
        <v>1642614.3299999998</v>
      </c>
      <c r="K76" s="43">
        <f>+J76*F76</f>
        <v>9855685.9799999986</v>
      </c>
      <c r="L76" s="43">
        <v>0</v>
      </c>
      <c r="M76" s="43">
        <v>0</v>
      </c>
      <c r="N76" s="41">
        <v>2</v>
      </c>
      <c r="O76" s="43">
        <f t="shared" si="11"/>
        <v>13402842.989999998</v>
      </c>
    </row>
    <row r="77" spans="1:15" s="2" customFormat="1" ht="85.5" x14ac:dyDescent="0.25">
      <c r="A77" s="6"/>
      <c r="B77" s="7" t="s">
        <v>71</v>
      </c>
      <c r="C77" s="15">
        <v>80111600</v>
      </c>
      <c r="D77" s="63" t="s">
        <v>129</v>
      </c>
      <c r="E77" s="16">
        <v>3</v>
      </c>
      <c r="F77" s="16">
        <v>6</v>
      </c>
      <c r="G77" s="16" t="s">
        <v>83</v>
      </c>
      <c r="H77" s="56">
        <f>5200000*1.13</f>
        <v>5875999.9999999991</v>
      </c>
      <c r="I77" s="56">
        <f t="shared" si="15"/>
        <v>105767999.99999997</v>
      </c>
      <c r="J77" s="43">
        <f>5132575*1.13</f>
        <v>5799809.7499999991</v>
      </c>
      <c r="K77" s="43">
        <f>F77*J77*E77</f>
        <v>104396575.49999997</v>
      </c>
      <c r="L77" s="43">
        <f>4461205*1.13</f>
        <v>5041161.6499999994</v>
      </c>
      <c r="M77" s="43">
        <f>F77*L77*E77</f>
        <v>90740909.699999988</v>
      </c>
      <c r="N77" s="41">
        <v>4</v>
      </c>
      <c r="O77" s="43">
        <f t="shared" si="11"/>
        <v>75226371.299999982</v>
      </c>
    </row>
    <row r="78" spans="1:15" s="2" customFormat="1" ht="71.25" x14ac:dyDescent="0.25">
      <c r="A78" s="6"/>
      <c r="B78" s="7" t="s">
        <v>72</v>
      </c>
      <c r="C78" s="15">
        <v>80111600</v>
      </c>
      <c r="D78" s="63" t="s">
        <v>130</v>
      </c>
      <c r="E78" s="16">
        <v>2</v>
      </c>
      <c r="F78" s="16">
        <v>6</v>
      </c>
      <c r="G78" s="16" t="s">
        <v>83</v>
      </c>
      <c r="H78" s="56">
        <f>5200001*1.13</f>
        <v>5876001.1299999999</v>
      </c>
      <c r="I78" s="56">
        <f t="shared" si="15"/>
        <v>70512013.560000002</v>
      </c>
      <c r="J78" s="43">
        <f>5132575*1.13</f>
        <v>5799809.7499999991</v>
      </c>
      <c r="K78" s="43">
        <f>F78*J78*E78</f>
        <v>69597716.999999985</v>
      </c>
      <c r="L78" s="43">
        <f>4461206*1.13</f>
        <v>5041162.7799999993</v>
      </c>
      <c r="M78" s="43">
        <f>F78*L78*E78</f>
        <v>60493953.359999992</v>
      </c>
      <c r="N78" s="41">
        <v>4</v>
      </c>
      <c r="O78" s="43">
        <f t="shared" si="11"/>
        <v>50150920.979999997</v>
      </c>
    </row>
    <row r="79" spans="1:15" s="2" customFormat="1" ht="65.25" customHeight="1" x14ac:dyDescent="0.25">
      <c r="A79" s="6"/>
      <c r="B79" s="7" t="s">
        <v>73</v>
      </c>
      <c r="C79" s="15">
        <v>80111600</v>
      </c>
      <c r="D79" s="63" t="s">
        <v>65</v>
      </c>
      <c r="E79" s="16">
        <v>2</v>
      </c>
      <c r="F79" s="16">
        <v>6</v>
      </c>
      <c r="G79" s="16" t="s">
        <v>83</v>
      </c>
      <c r="H79" s="56">
        <f>5200002*1.13</f>
        <v>5876002.2599999998</v>
      </c>
      <c r="I79" s="56">
        <f t="shared" si="15"/>
        <v>70512027.120000005</v>
      </c>
      <c r="J79" s="43">
        <f>5132575*1.13</f>
        <v>5799809.7499999991</v>
      </c>
      <c r="K79" s="43">
        <f>F79*J79*E79</f>
        <v>69597716.999999985</v>
      </c>
      <c r="L79" s="43">
        <f>4461207*1.13</f>
        <v>5041163.9099999992</v>
      </c>
      <c r="M79" s="43">
        <f>F79*L79*E79</f>
        <v>60493966.919999987</v>
      </c>
      <c r="N79" s="41">
        <v>4</v>
      </c>
      <c r="O79" s="43">
        <f t="shared" si="11"/>
        <v>50150927.759999998</v>
      </c>
    </row>
    <row r="80" spans="1:15" s="2" customFormat="1" ht="71.25" x14ac:dyDescent="0.25">
      <c r="A80" s="6"/>
      <c r="B80" s="7" t="s">
        <v>74</v>
      </c>
      <c r="C80" s="15">
        <v>80111600</v>
      </c>
      <c r="D80" s="34" t="s">
        <v>131</v>
      </c>
      <c r="E80" s="7">
        <v>1</v>
      </c>
      <c r="F80" s="16">
        <v>5</v>
      </c>
      <c r="G80" s="7" t="s">
        <v>83</v>
      </c>
      <c r="H80" s="43">
        <f>5200003*1.13</f>
        <v>5876003.3899999997</v>
      </c>
      <c r="I80" s="43">
        <f t="shared" si="15"/>
        <v>29380016.949999999</v>
      </c>
      <c r="J80" s="43">
        <f>5132575*1.13</f>
        <v>5799809.7499999991</v>
      </c>
      <c r="K80" s="43">
        <f>F80*J80*E80</f>
        <v>28999048.749999996</v>
      </c>
      <c r="L80" s="43">
        <f>4461208*1.13</f>
        <v>5041165.0399999991</v>
      </c>
      <c r="M80" s="43">
        <f>F80*L80*E80</f>
        <v>25205825.199999996</v>
      </c>
      <c r="N80" s="41">
        <v>4</v>
      </c>
      <c r="O80" s="43">
        <f t="shared" si="11"/>
        <v>20896222.724999998</v>
      </c>
    </row>
    <row r="81" spans="1:15" s="2" customFormat="1" ht="93.6" customHeight="1" x14ac:dyDescent="0.25">
      <c r="A81" s="44"/>
      <c r="B81" s="41"/>
      <c r="C81" s="22">
        <v>80111620</v>
      </c>
      <c r="D81" s="8" t="s">
        <v>97</v>
      </c>
      <c r="E81" s="7">
        <v>1</v>
      </c>
      <c r="F81" s="7">
        <v>3</v>
      </c>
      <c r="G81" s="7"/>
      <c r="H81" s="43">
        <f>2200000*1.13</f>
        <v>2485999.9999999995</v>
      </c>
      <c r="I81" s="43">
        <f>F81*H81*E81</f>
        <v>7457999.9999999981</v>
      </c>
      <c r="J81" s="43">
        <v>0</v>
      </c>
      <c r="K81" s="43">
        <v>0</v>
      </c>
      <c r="L81" s="43">
        <v>0</v>
      </c>
      <c r="M81" s="43">
        <v>0</v>
      </c>
      <c r="N81" s="41">
        <v>1</v>
      </c>
      <c r="O81" s="43">
        <f t="shared" si="11"/>
        <v>7457999.9999999981</v>
      </c>
    </row>
    <row r="82" spans="1:15" ht="33" customHeight="1" x14ac:dyDescent="0.25">
      <c r="A82" s="82"/>
      <c r="B82" s="117" t="s">
        <v>81</v>
      </c>
      <c r="C82" s="116">
        <v>80111620</v>
      </c>
      <c r="D82" s="115" t="s">
        <v>137</v>
      </c>
      <c r="E82" s="90">
        <v>6</v>
      </c>
      <c r="F82" s="91">
        <v>1</v>
      </c>
      <c r="G82" s="91" t="s">
        <v>83</v>
      </c>
      <c r="H82" s="92">
        <f>1000000*1.13</f>
        <v>1130000</v>
      </c>
      <c r="I82" s="92">
        <f>E82*H82*F82</f>
        <v>6780000</v>
      </c>
      <c r="J82" s="88" t="s">
        <v>102</v>
      </c>
      <c r="K82" s="89"/>
      <c r="L82" s="167">
        <v>0</v>
      </c>
      <c r="M82" s="163">
        <v>0</v>
      </c>
      <c r="N82" s="165">
        <v>2</v>
      </c>
      <c r="O82" s="163">
        <f>(I82+K83+M82)/N82</f>
        <v>9549806.2799999993</v>
      </c>
    </row>
    <row r="83" spans="1:15" s="2" customFormat="1" ht="108" customHeight="1" x14ac:dyDescent="0.25">
      <c r="A83" s="83"/>
      <c r="B83" s="117"/>
      <c r="C83" s="116"/>
      <c r="D83" s="115"/>
      <c r="E83" s="90"/>
      <c r="F83" s="91"/>
      <c r="G83" s="91"/>
      <c r="H83" s="92"/>
      <c r="I83" s="92"/>
      <c r="J83" s="43">
        <f>1817052*1.13</f>
        <v>2053268.7599999998</v>
      </c>
      <c r="K83" s="43">
        <f>+J83*E82</f>
        <v>12319612.559999999</v>
      </c>
      <c r="L83" s="168"/>
      <c r="M83" s="164"/>
      <c r="N83" s="166"/>
      <c r="O83" s="164"/>
    </row>
    <row r="84" spans="1:15" s="2" customFormat="1" ht="39.75" customHeight="1" x14ac:dyDescent="0.25">
      <c r="A84" s="14"/>
      <c r="B84" s="64"/>
      <c r="C84" s="47">
        <v>9</v>
      </c>
      <c r="D84" s="47" t="s">
        <v>24</v>
      </c>
      <c r="E84" s="64"/>
      <c r="F84" s="64"/>
      <c r="G84" s="64"/>
      <c r="H84" s="46"/>
      <c r="I84" s="46"/>
      <c r="J84" s="84" t="s">
        <v>101</v>
      </c>
      <c r="K84" s="85"/>
      <c r="L84" s="46"/>
      <c r="M84" s="46"/>
      <c r="N84" s="47"/>
      <c r="O84" s="47"/>
    </row>
    <row r="85" spans="1:15" s="2" customFormat="1" ht="48.2" customHeight="1" x14ac:dyDescent="0.25">
      <c r="A85" s="17"/>
      <c r="B85" s="16" t="s">
        <v>75</v>
      </c>
      <c r="C85" s="15">
        <v>52171001</v>
      </c>
      <c r="D85" s="18" t="s">
        <v>22</v>
      </c>
      <c r="E85" s="16">
        <v>2000</v>
      </c>
      <c r="F85" s="16"/>
      <c r="G85" s="16" t="s">
        <v>23</v>
      </c>
      <c r="H85" s="43">
        <f>300*1.13</f>
        <v>338.99999999999994</v>
      </c>
      <c r="I85" s="43">
        <f>E85*H85</f>
        <v>677999.99999999988</v>
      </c>
      <c r="J85" s="43">
        <v>0</v>
      </c>
      <c r="K85" s="43">
        <v>0</v>
      </c>
      <c r="L85" s="43">
        <f>100*1.13</f>
        <v>112.99999999999999</v>
      </c>
      <c r="M85" s="43">
        <f>+L85*E85</f>
        <v>225999.99999999997</v>
      </c>
      <c r="N85" s="41">
        <v>2</v>
      </c>
      <c r="O85" s="43">
        <f>(I85+K85+M85)/N85</f>
        <v>451999.99999999994</v>
      </c>
    </row>
    <row r="86" spans="1:15" s="2" customFormat="1" ht="39.75" customHeight="1" x14ac:dyDescent="0.25">
      <c r="A86" s="17"/>
      <c r="B86" s="16" t="s">
        <v>76</v>
      </c>
      <c r="C86" s="15">
        <v>44121704</v>
      </c>
      <c r="D86" s="63" t="s">
        <v>10</v>
      </c>
      <c r="E86" s="16">
        <v>400</v>
      </c>
      <c r="F86" s="16"/>
      <c r="G86" s="16" t="s">
        <v>9</v>
      </c>
      <c r="H86" s="43">
        <f>3500*1.13</f>
        <v>3954.9999999999995</v>
      </c>
      <c r="I86" s="43">
        <f>E86*H86</f>
        <v>1581999.9999999998</v>
      </c>
      <c r="J86" s="43">
        <v>0</v>
      </c>
      <c r="K86" s="43">
        <v>0</v>
      </c>
      <c r="L86" s="43">
        <f>3200*1.13</f>
        <v>3615.9999999999995</v>
      </c>
      <c r="M86" s="43">
        <f>+L86*E86</f>
        <v>1446399.9999999998</v>
      </c>
      <c r="N86" s="41">
        <v>2</v>
      </c>
      <c r="O86" s="43">
        <f>(I86+K86+M86)/N86</f>
        <v>1514199.9999999998</v>
      </c>
    </row>
    <row r="87" spans="1:15" s="2" customFormat="1" ht="39.75" customHeight="1" x14ac:dyDescent="0.25">
      <c r="A87" s="39"/>
      <c r="B87" s="40"/>
      <c r="C87" s="40">
        <v>10</v>
      </c>
      <c r="D87" s="40" t="s">
        <v>77</v>
      </c>
      <c r="E87" s="39"/>
      <c r="F87" s="39"/>
      <c r="G87" s="39"/>
      <c r="H87" s="46"/>
      <c r="I87" s="46"/>
      <c r="J87" s="46"/>
      <c r="K87" s="46"/>
      <c r="L87" s="46"/>
      <c r="M87" s="46"/>
      <c r="N87" s="47"/>
      <c r="O87" s="47"/>
    </row>
    <row r="88" spans="1:15" s="2" customFormat="1" ht="39.75" customHeight="1" x14ac:dyDescent="0.25">
      <c r="A88" s="17"/>
      <c r="B88" s="16"/>
      <c r="C88" s="22">
        <v>82121500</v>
      </c>
      <c r="D88" s="9" t="s">
        <v>39</v>
      </c>
      <c r="E88" s="16">
        <v>600</v>
      </c>
      <c r="F88" s="16"/>
      <c r="G88" s="16" t="s">
        <v>9</v>
      </c>
      <c r="H88" s="43">
        <v>300</v>
      </c>
      <c r="I88" s="43">
        <f>E88*H88</f>
        <v>180000</v>
      </c>
      <c r="J88" s="43">
        <v>0</v>
      </c>
      <c r="K88" s="43">
        <v>0</v>
      </c>
      <c r="L88" s="43">
        <v>300</v>
      </c>
      <c r="M88" s="43">
        <f>+L88*E88</f>
        <v>180000</v>
      </c>
      <c r="N88" s="41">
        <v>2</v>
      </c>
      <c r="O88" s="43">
        <f t="shared" ref="O88:O103" si="16">(I88+K88+M88)/N88</f>
        <v>180000</v>
      </c>
    </row>
    <row r="89" spans="1:15" s="2" customFormat="1" ht="39.75" customHeight="1" x14ac:dyDescent="0.25">
      <c r="A89" s="17"/>
      <c r="B89" s="16"/>
      <c r="C89" s="22">
        <v>44120000</v>
      </c>
      <c r="D89" s="9" t="s">
        <v>78</v>
      </c>
      <c r="E89" s="16">
        <v>300</v>
      </c>
      <c r="F89" s="16"/>
      <c r="G89" s="16" t="s">
        <v>9</v>
      </c>
      <c r="H89" s="43">
        <v>18000</v>
      </c>
      <c r="I89" s="43">
        <f>E89*H89</f>
        <v>5400000</v>
      </c>
      <c r="J89" s="43">
        <v>0</v>
      </c>
      <c r="K89" s="43">
        <v>0</v>
      </c>
      <c r="L89" s="43">
        <v>13300</v>
      </c>
      <c r="M89" s="43">
        <f t="shared" ref="M89:M103" si="17">+L89*E89</f>
        <v>3990000</v>
      </c>
      <c r="N89" s="41">
        <v>2</v>
      </c>
      <c r="O89" s="43">
        <f t="shared" si="16"/>
        <v>4695000</v>
      </c>
    </row>
    <row r="90" spans="1:15" s="2" customFormat="1" ht="39.75" customHeight="1" x14ac:dyDescent="0.25">
      <c r="A90" s="17"/>
      <c r="B90" s="16"/>
      <c r="C90" s="22">
        <v>44120000</v>
      </c>
      <c r="D90" s="63" t="s">
        <v>103</v>
      </c>
      <c r="E90" s="16">
        <v>500</v>
      </c>
      <c r="F90" s="16"/>
      <c r="G90" s="16" t="s">
        <v>9</v>
      </c>
      <c r="H90" s="43">
        <v>2000</v>
      </c>
      <c r="I90" s="43">
        <f t="shared" ref="I90:I103" si="18">E90*H90</f>
        <v>1000000</v>
      </c>
      <c r="J90" s="43">
        <v>0</v>
      </c>
      <c r="K90" s="43">
        <v>0</v>
      </c>
      <c r="L90" s="43">
        <v>470</v>
      </c>
      <c r="M90" s="43">
        <f t="shared" si="17"/>
        <v>235000</v>
      </c>
      <c r="N90" s="41">
        <v>2</v>
      </c>
      <c r="O90" s="43">
        <f t="shared" si="16"/>
        <v>617500</v>
      </c>
    </row>
    <row r="91" spans="1:15" s="2" customFormat="1" ht="39.75" customHeight="1" x14ac:dyDescent="0.25">
      <c r="A91" s="17"/>
      <c r="B91" s="16"/>
      <c r="C91" s="22">
        <v>44120000</v>
      </c>
      <c r="D91" s="9" t="s">
        <v>40</v>
      </c>
      <c r="E91" s="16">
        <v>2000</v>
      </c>
      <c r="F91" s="16"/>
      <c r="G91" s="16" t="s">
        <v>9</v>
      </c>
      <c r="H91" s="43">
        <v>300</v>
      </c>
      <c r="I91" s="43">
        <f t="shared" si="18"/>
        <v>600000</v>
      </c>
      <c r="J91" s="43">
        <v>0</v>
      </c>
      <c r="K91" s="43">
        <v>0</v>
      </c>
      <c r="L91" s="43">
        <v>100</v>
      </c>
      <c r="M91" s="43">
        <f t="shared" si="17"/>
        <v>200000</v>
      </c>
      <c r="N91" s="41">
        <v>2</v>
      </c>
      <c r="O91" s="43">
        <f t="shared" si="16"/>
        <v>400000</v>
      </c>
    </row>
    <row r="92" spans="1:15" s="2" customFormat="1" ht="39.75" customHeight="1" x14ac:dyDescent="0.25">
      <c r="A92" s="17"/>
      <c r="B92" s="16"/>
      <c r="C92" s="22">
        <v>60105912</v>
      </c>
      <c r="D92" s="9" t="s">
        <v>41</v>
      </c>
      <c r="E92" s="16">
        <v>250</v>
      </c>
      <c r="F92" s="16"/>
      <c r="G92" s="16" t="s">
        <v>9</v>
      </c>
      <c r="H92" s="43">
        <v>170000</v>
      </c>
      <c r="I92" s="43">
        <f t="shared" si="18"/>
        <v>42500000</v>
      </c>
      <c r="J92" s="43">
        <v>0</v>
      </c>
      <c r="K92" s="43">
        <v>0</v>
      </c>
      <c r="L92" s="43">
        <v>38000</v>
      </c>
      <c r="M92" s="43">
        <f t="shared" si="17"/>
        <v>9500000</v>
      </c>
      <c r="N92" s="41">
        <v>2</v>
      </c>
      <c r="O92" s="43">
        <f t="shared" si="16"/>
        <v>26000000</v>
      </c>
    </row>
    <row r="93" spans="1:15" s="2" customFormat="1" ht="39.75" customHeight="1" x14ac:dyDescent="0.25">
      <c r="A93" s="17"/>
      <c r="B93" s="16"/>
      <c r="C93" s="19"/>
      <c r="D93" s="23" t="s">
        <v>33</v>
      </c>
      <c r="E93" s="16">
        <v>300</v>
      </c>
      <c r="F93" s="16"/>
      <c r="G93" s="16" t="s">
        <v>9</v>
      </c>
      <c r="H93" s="43">
        <v>2100</v>
      </c>
      <c r="I93" s="43">
        <f t="shared" si="18"/>
        <v>630000</v>
      </c>
      <c r="J93" s="43">
        <v>0</v>
      </c>
      <c r="K93" s="43">
        <v>0</v>
      </c>
      <c r="L93" s="43">
        <v>330</v>
      </c>
      <c r="M93" s="43">
        <f t="shared" si="17"/>
        <v>99000</v>
      </c>
      <c r="N93" s="41">
        <v>2</v>
      </c>
      <c r="O93" s="43">
        <f t="shared" si="16"/>
        <v>364500</v>
      </c>
    </row>
    <row r="94" spans="1:15" s="2" customFormat="1" ht="39.75" customHeight="1" x14ac:dyDescent="0.25">
      <c r="A94" s="17"/>
      <c r="B94" s="16"/>
      <c r="C94" s="22">
        <v>44120000</v>
      </c>
      <c r="D94" s="9" t="s">
        <v>42</v>
      </c>
      <c r="E94" s="16">
        <v>360</v>
      </c>
      <c r="F94" s="16"/>
      <c r="G94" s="16" t="s">
        <v>9</v>
      </c>
      <c r="H94" s="43">
        <v>2500</v>
      </c>
      <c r="I94" s="43">
        <f t="shared" si="18"/>
        <v>900000</v>
      </c>
      <c r="J94" s="43">
        <v>0</v>
      </c>
      <c r="K94" s="43">
        <v>0</v>
      </c>
      <c r="L94" s="43">
        <v>230</v>
      </c>
      <c r="M94" s="43">
        <f t="shared" si="17"/>
        <v>82800</v>
      </c>
      <c r="N94" s="41">
        <v>2</v>
      </c>
      <c r="O94" s="43">
        <f t="shared" si="16"/>
        <v>491400</v>
      </c>
    </row>
    <row r="95" spans="1:15" s="2" customFormat="1" ht="39.75" customHeight="1" x14ac:dyDescent="0.25">
      <c r="A95" s="17"/>
      <c r="B95" s="16"/>
      <c r="C95" s="22">
        <v>44120000</v>
      </c>
      <c r="D95" s="9" t="s">
        <v>43</v>
      </c>
      <c r="E95" s="16">
        <v>370</v>
      </c>
      <c r="F95" s="16"/>
      <c r="G95" s="16" t="s">
        <v>9</v>
      </c>
      <c r="H95" s="43">
        <v>1500</v>
      </c>
      <c r="I95" s="43">
        <f t="shared" si="18"/>
        <v>555000</v>
      </c>
      <c r="J95" s="43">
        <v>0</v>
      </c>
      <c r="K95" s="43">
        <v>0</v>
      </c>
      <c r="L95" s="43">
        <v>740</v>
      </c>
      <c r="M95" s="43">
        <f t="shared" si="17"/>
        <v>273800</v>
      </c>
      <c r="N95" s="41">
        <v>2</v>
      </c>
      <c r="O95" s="43">
        <f t="shared" si="16"/>
        <v>414400</v>
      </c>
    </row>
    <row r="96" spans="1:15" s="2" customFormat="1" ht="39.75" customHeight="1" x14ac:dyDescent="0.25">
      <c r="A96" s="17"/>
      <c r="B96" s="16"/>
      <c r="C96" s="22">
        <v>44120000</v>
      </c>
      <c r="D96" s="9" t="s">
        <v>44</v>
      </c>
      <c r="E96" s="16">
        <v>400</v>
      </c>
      <c r="F96" s="16"/>
      <c r="G96" s="16" t="s">
        <v>9</v>
      </c>
      <c r="H96" s="43">
        <v>18700</v>
      </c>
      <c r="I96" s="43">
        <f t="shared" si="18"/>
        <v>7480000</v>
      </c>
      <c r="J96" s="43">
        <v>0</v>
      </c>
      <c r="K96" s="43">
        <v>0</v>
      </c>
      <c r="L96" s="43">
        <v>5335</v>
      </c>
      <c r="M96" s="43">
        <f t="shared" si="17"/>
        <v>2134000</v>
      </c>
      <c r="N96" s="41">
        <v>2</v>
      </c>
      <c r="O96" s="43">
        <f t="shared" si="16"/>
        <v>4807000</v>
      </c>
    </row>
    <row r="97" spans="1:16" s="2" customFormat="1" ht="39.75" customHeight="1" x14ac:dyDescent="0.25">
      <c r="A97" s="17"/>
      <c r="B97" s="16"/>
      <c r="C97" s="19"/>
      <c r="D97" s="23" t="s">
        <v>34</v>
      </c>
      <c r="E97" s="16">
        <v>150</v>
      </c>
      <c r="F97" s="16"/>
      <c r="G97" s="16" t="s">
        <v>9</v>
      </c>
      <c r="H97" s="43">
        <v>156000</v>
      </c>
      <c r="I97" s="43">
        <f t="shared" si="18"/>
        <v>23400000</v>
      </c>
      <c r="J97" s="43">
        <v>0</v>
      </c>
      <c r="K97" s="43">
        <v>0</v>
      </c>
      <c r="L97" s="43">
        <v>58000</v>
      </c>
      <c r="M97" s="43">
        <f t="shared" si="17"/>
        <v>8700000</v>
      </c>
      <c r="N97" s="41">
        <v>2</v>
      </c>
      <c r="O97" s="43">
        <f t="shared" si="16"/>
        <v>16050000</v>
      </c>
    </row>
    <row r="98" spans="1:16" s="2" customFormat="1" ht="39.75" customHeight="1" x14ac:dyDescent="0.25">
      <c r="A98" s="17"/>
      <c r="B98" s="16"/>
      <c r="C98" s="22">
        <v>44120000</v>
      </c>
      <c r="D98" s="9" t="s">
        <v>45</v>
      </c>
      <c r="E98" s="16">
        <v>480</v>
      </c>
      <c r="F98" s="16"/>
      <c r="G98" s="16" t="s">
        <v>9</v>
      </c>
      <c r="H98" s="43">
        <v>15000</v>
      </c>
      <c r="I98" s="43">
        <f t="shared" si="18"/>
        <v>7200000</v>
      </c>
      <c r="J98" s="43">
        <v>0</v>
      </c>
      <c r="K98" s="43">
        <v>0</v>
      </c>
      <c r="L98" s="43">
        <v>5000</v>
      </c>
      <c r="M98" s="43">
        <f t="shared" si="17"/>
        <v>2400000</v>
      </c>
      <c r="N98" s="41">
        <v>2</v>
      </c>
      <c r="O98" s="43">
        <f t="shared" si="16"/>
        <v>4800000</v>
      </c>
    </row>
    <row r="99" spans="1:16" s="2" customFormat="1" ht="39.75" customHeight="1" x14ac:dyDescent="0.25">
      <c r="A99" s="17"/>
      <c r="B99" s="16"/>
      <c r="C99" s="22">
        <v>44120000</v>
      </c>
      <c r="D99" s="9" t="s">
        <v>46</v>
      </c>
      <c r="E99" s="16">
        <v>300</v>
      </c>
      <c r="F99" s="16"/>
      <c r="G99" s="16" t="s">
        <v>9</v>
      </c>
      <c r="H99" s="43">
        <v>8000</v>
      </c>
      <c r="I99" s="43">
        <f t="shared" si="18"/>
        <v>2400000</v>
      </c>
      <c r="J99" s="43">
        <v>0</v>
      </c>
      <c r="K99" s="43">
        <v>0</v>
      </c>
      <c r="L99" s="43">
        <v>2500</v>
      </c>
      <c r="M99" s="43">
        <f t="shared" si="17"/>
        <v>750000</v>
      </c>
      <c r="N99" s="41">
        <v>2</v>
      </c>
      <c r="O99" s="43">
        <f t="shared" si="16"/>
        <v>1575000</v>
      </c>
    </row>
    <row r="100" spans="1:16" s="2" customFormat="1" ht="39.75" customHeight="1" x14ac:dyDescent="0.25">
      <c r="A100" s="17"/>
      <c r="B100" s="16"/>
      <c r="C100" s="22">
        <v>44120000</v>
      </c>
      <c r="D100" s="9" t="s">
        <v>133</v>
      </c>
      <c r="E100" s="16">
        <v>200</v>
      </c>
      <c r="F100" s="16"/>
      <c r="G100" s="16" t="s">
        <v>9</v>
      </c>
      <c r="H100" s="43">
        <v>3800</v>
      </c>
      <c r="I100" s="43">
        <f t="shared" si="18"/>
        <v>760000</v>
      </c>
      <c r="J100" s="43">
        <v>0</v>
      </c>
      <c r="K100" s="43">
        <v>0</v>
      </c>
      <c r="L100" s="43">
        <v>1150</v>
      </c>
      <c r="M100" s="43">
        <f t="shared" si="17"/>
        <v>230000</v>
      </c>
      <c r="N100" s="41">
        <v>2</v>
      </c>
      <c r="O100" s="43">
        <f t="shared" si="16"/>
        <v>495000</v>
      </c>
    </row>
    <row r="101" spans="1:16" s="2" customFormat="1" ht="39.75" customHeight="1" x14ac:dyDescent="0.25">
      <c r="A101" s="17"/>
      <c r="B101" s="16"/>
      <c r="C101" s="19"/>
      <c r="D101" s="24" t="s">
        <v>35</v>
      </c>
      <c r="E101" s="16">
        <v>1000</v>
      </c>
      <c r="F101" s="16"/>
      <c r="G101" s="16" t="s">
        <v>9</v>
      </c>
      <c r="H101" s="43">
        <v>2600</v>
      </c>
      <c r="I101" s="43">
        <f t="shared" si="18"/>
        <v>2600000</v>
      </c>
      <c r="J101" s="43">
        <v>0</v>
      </c>
      <c r="K101" s="43">
        <v>0</v>
      </c>
      <c r="L101" s="43">
        <v>128</v>
      </c>
      <c r="M101" s="43">
        <f t="shared" si="17"/>
        <v>128000</v>
      </c>
      <c r="N101" s="41">
        <v>2</v>
      </c>
      <c r="O101" s="43">
        <f t="shared" si="16"/>
        <v>1364000</v>
      </c>
    </row>
    <row r="102" spans="1:16" s="2" customFormat="1" ht="39.75" customHeight="1" x14ac:dyDescent="0.25">
      <c r="A102" s="17"/>
      <c r="B102" s="16"/>
      <c r="C102" s="15"/>
      <c r="D102" s="25" t="s">
        <v>36</v>
      </c>
      <c r="E102" s="16">
        <v>300</v>
      </c>
      <c r="F102" s="16"/>
      <c r="G102" s="16" t="s">
        <v>9</v>
      </c>
      <c r="H102" s="43">
        <v>6000</v>
      </c>
      <c r="I102" s="43">
        <f t="shared" si="18"/>
        <v>1800000</v>
      </c>
      <c r="J102" s="43">
        <v>0</v>
      </c>
      <c r="K102" s="43">
        <v>0</v>
      </c>
      <c r="L102" s="43">
        <v>5000</v>
      </c>
      <c r="M102" s="43">
        <f t="shared" si="17"/>
        <v>1500000</v>
      </c>
      <c r="N102" s="41">
        <v>2</v>
      </c>
      <c r="O102" s="43">
        <f t="shared" si="16"/>
        <v>1650000</v>
      </c>
    </row>
    <row r="103" spans="1:16" s="2" customFormat="1" ht="48.95" customHeight="1" x14ac:dyDescent="0.25">
      <c r="A103" s="17"/>
      <c r="B103" s="16"/>
      <c r="C103" s="21"/>
      <c r="D103" s="26" t="s">
        <v>98</v>
      </c>
      <c r="E103" s="16">
        <v>500</v>
      </c>
      <c r="F103" s="16"/>
      <c r="G103" s="16" t="s">
        <v>9</v>
      </c>
      <c r="H103" s="43"/>
      <c r="I103" s="43">
        <f t="shared" si="18"/>
        <v>0</v>
      </c>
      <c r="J103" s="43">
        <v>3520</v>
      </c>
      <c r="K103" s="43">
        <f>E103*J103</f>
        <v>1760000</v>
      </c>
      <c r="L103" s="43">
        <v>3061</v>
      </c>
      <c r="M103" s="43">
        <f t="shared" si="17"/>
        <v>1530500</v>
      </c>
      <c r="N103" s="41">
        <v>2</v>
      </c>
      <c r="O103" s="43">
        <f t="shared" si="16"/>
        <v>1645250</v>
      </c>
    </row>
    <row r="104" spans="1:16" ht="40.700000000000003" customHeight="1" x14ac:dyDescent="0.25">
      <c r="A104" s="98" t="s">
        <v>134</v>
      </c>
      <c r="B104" s="99"/>
      <c r="C104" s="99"/>
      <c r="D104" s="99"/>
      <c r="E104" s="99"/>
      <c r="F104" s="99"/>
      <c r="G104" s="100"/>
      <c r="H104" s="48">
        <f t="shared" ref="H104:M104" si="19">SUM(H6:H103)</f>
        <v>74943532.909999996</v>
      </c>
      <c r="I104" s="48">
        <f t="shared" si="19"/>
        <v>989104896.63</v>
      </c>
      <c r="J104" s="48">
        <f t="shared" si="19"/>
        <v>62615533.079999998</v>
      </c>
      <c r="K104" s="48">
        <f t="shared" si="19"/>
        <v>517991001.88999993</v>
      </c>
      <c r="L104" s="48">
        <f t="shared" si="19"/>
        <v>44265920.43999999</v>
      </c>
      <c r="M104" s="48">
        <f t="shared" si="19"/>
        <v>561887603.27999997</v>
      </c>
      <c r="N104" s="49"/>
      <c r="O104" s="48">
        <f>SUM(O6:O103)</f>
        <v>776996877.28499997</v>
      </c>
      <c r="P104" s="1">
        <v>2</v>
      </c>
    </row>
    <row r="106" spans="1:16" ht="15.75" x14ac:dyDescent="0.25">
      <c r="D106" s="67"/>
    </row>
    <row r="108" spans="1:16" x14ac:dyDescent="0.25">
      <c r="O108" s="78">
        <f>777000000-O104</f>
        <v>3122.7150000333786</v>
      </c>
    </row>
  </sheetData>
  <mergeCells count="173">
    <mergeCell ref="H47:I47"/>
    <mergeCell ref="J47:K47"/>
    <mergeCell ref="D47:D48"/>
    <mergeCell ref="E47:E48"/>
    <mergeCell ref="F47:F48"/>
    <mergeCell ref="G47:G48"/>
    <mergeCell ref="L47:M47"/>
    <mergeCell ref="B28:B29"/>
    <mergeCell ref="A28:A29"/>
    <mergeCell ref="B36:B37"/>
    <mergeCell ref="D36:D37"/>
    <mergeCell ref="L33:L34"/>
    <mergeCell ref="L36:L37"/>
    <mergeCell ref="M36:M37"/>
    <mergeCell ref="I36:I37"/>
    <mergeCell ref="H36:H37"/>
    <mergeCell ref="G36:G37"/>
    <mergeCell ref="F36:F37"/>
    <mergeCell ref="E36:E37"/>
    <mergeCell ref="C28:C29"/>
    <mergeCell ref="O82:O83"/>
    <mergeCell ref="N82:N83"/>
    <mergeCell ref="M82:M83"/>
    <mergeCell ref="L82:L83"/>
    <mergeCell ref="G49:G50"/>
    <mergeCell ref="J51:J52"/>
    <mergeCell ref="K51:K52"/>
    <mergeCell ref="L51:L52"/>
    <mergeCell ref="M51:M52"/>
    <mergeCell ref="M49:M50"/>
    <mergeCell ref="L49:L50"/>
    <mergeCell ref="H49:I49"/>
    <mergeCell ref="J49:K49"/>
    <mergeCell ref="H72:I72"/>
    <mergeCell ref="J72:K72"/>
    <mergeCell ref="L72:M72"/>
    <mergeCell ref="G58:G59"/>
    <mergeCell ref="H58:M58"/>
    <mergeCell ref="O49:O50"/>
    <mergeCell ref="H51:I51"/>
    <mergeCell ref="H62:M62"/>
    <mergeCell ref="C49:C50"/>
    <mergeCell ref="B49:B50"/>
    <mergeCell ref="B51:B52"/>
    <mergeCell ref="G51:G52"/>
    <mergeCell ref="F51:F52"/>
    <mergeCell ref="E51:E52"/>
    <mergeCell ref="D51:D52"/>
    <mergeCell ref="C51:C52"/>
    <mergeCell ref="E49:E50"/>
    <mergeCell ref="F49:F50"/>
    <mergeCell ref="D58:D59"/>
    <mergeCell ref="E58:E59"/>
    <mergeCell ref="F58:F59"/>
    <mergeCell ref="L45:L46"/>
    <mergeCell ref="M45:M46"/>
    <mergeCell ref="N49:N50"/>
    <mergeCell ref="O36:O37"/>
    <mergeCell ref="O33:O34"/>
    <mergeCell ref="O9:O10"/>
    <mergeCell ref="D49:D50"/>
    <mergeCell ref="O51:O52"/>
    <mergeCell ref="N51:N52"/>
    <mergeCell ref="J22:K22"/>
    <mergeCell ref="H28:I28"/>
    <mergeCell ref="J28:K28"/>
    <mergeCell ref="G28:G29"/>
    <mergeCell ref="N36:N37"/>
    <mergeCell ref="D24:D25"/>
    <mergeCell ref="E24:E25"/>
    <mergeCell ref="F24:F25"/>
    <mergeCell ref="G24:G25"/>
    <mergeCell ref="H24:I24"/>
    <mergeCell ref="J24:K24"/>
    <mergeCell ref="L24:M24"/>
    <mergeCell ref="N33:N34"/>
    <mergeCell ref="N9:N10"/>
    <mergeCell ref="N7:N8"/>
    <mergeCell ref="D7:D8"/>
    <mergeCell ref="L7:L8"/>
    <mergeCell ref="M7:M8"/>
    <mergeCell ref="L9:L10"/>
    <mergeCell ref="H33:H34"/>
    <mergeCell ref="I33:I34"/>
    <mergeCell ref="J33:K33"/>
    <mergeCell ref="G9:G10"/>
    <mergeCell ref="F9:F10"/>
    <mergeCell ref="E9:E10"/>
    <mergeCell ref="D22:D23"/>
    <mergeCell ref="E28:E29"/>
    <mergeCell ref="D28:D29"/>
    <mergeCell ref="E26:E27"/>
    <mergeCell ref="F26:F27"/>
    <mergeCell ref="G26:G27"/>
    <mergeCell ref="D26:D27"/>
    <mergeCell ref="H26:M26"/>
    <mergeCell ref="H22:I22"/>
    <mergeCell ref="F28:F29"/>
    <mergeCell ref="J36:K36"/>
    <mergeCell ref="M33:M34"/>
    <mergeCell ref="K4:K5"/>
    <mergeCell ref="L4:L5"/>
    <mergeCell ref="M4:M5"/>
    <mergeCell ref="C7:C8"/>
    <mergeCell ref="B7:B8"/>
    <mergeCell ref="J9:K9"/>
    <mergeCell ref="I9:I10"/>
    <mergeCell ref="H9:H10"/>
    <mergeCell ref="B9:B10"/>
    <mergeCell ref="C9:C10"/>
    <mergeCell ref="D9:D10"/>
    <mergeCell ref="I7:I8"/>
    <mergeCell ref="H7:H8"/>
    <mergeCell ref="G7:G8"/>
    <mergeCell ref="F7:F8"/>
    <mergeCell ref="E7:E8"/>
    <mergeCell ref="C36:C37"/>
    <mergeCell ref="E22:E23"/>
    <mergeCell ref="F22:F23"/>
    <mergeCell ref="G22:G23"/>
    <mergeCell ref="A1:O1"/>
    <mergeCell ref="A2:O2"/>
    <mergeCell ref="N3:N5"/>
    <mergeCell ref="O3:O5"/>
    <mergeCell ref="H4:H5"/>
    <mergeCell ref="I4:I5"/>
    <mergeCell ref="J4:J5"/>
    <mergeCell ref="J7:K7"/>
    <mergeCell ref="M9:M10"/>
    <mergeCell ref="H3:I3"/>
    <mergeCell ref="O7:O8"/>
    <mergeCell ref="J3:K3"/>
    <mergeCell ref="L3:M3"/>
    <mergeCell ref="A104:G104"/>
    <mergeCell ref="E5:G5"/>
    <mergeCell ref="A3:G3"/>
    <mergeCell ref="C5:D5"/>
    <mergeCell ref="C11:D11"/>
    <mergeCell ref="E11:G11"/>
    <mergeCell ref="C44:D44"/>
    <mergeCell ref="E44:G44"/>
    <mergeCell ref="C31:D31"/>
    <mergeCell ref="E31:G31"/>
    <mergeCell ref="C42:D42"/>
    <mergeCell ref="E42:G42"/>
    <mergeCell ref="C56:D56"/>
    <mergeCell ref="E56:G56"/>
    <mergeCell ref="B33:B34"/>
    <mergeCell ref="C33:C34"/>
    <mergeCell ref="D33:D34"/>
    <mergeCell ref="E33:E34"/>
    <mergeCell ref="F33:F34"/>
    <mergeCell ref="G33:G34"/>
    <mergeCell ref="A49:A50"/>
    <mergeCell ref="D82:D83"/>
    <mergeCell ref="C82:C83"/>
    <mergeCell ref="B82:B83"/>
    <mergeCell ref="F62:F63"/>
    <mergeCell ref="G62:G63"/>
    <mergeCell ref="A82:A83"/>
    <mergeCell ref="J84:K84"/>
    <mergeCell ref="H74:I74"/>
    <mergeCell ref="J74:K74"/>
    <mergeCell ref="J82:K82"/>
    <mergeCell ref="E82:E83"/>
    <mergeCell ref="F82:F83"/>
    <mergeCell ref="G82:G83"/>
    <mergeCell ref="H82:H83"/>
    <mergeCell ref="I82:I83"/>
    <mergeCell ref="C72:D72"/>
    <mergeCell ref="E72:G72"/>
    <mergeCell ref="D62:D63"/>
    <mergeCell ref="E62:E63"/>
  </mergeCells>
  <phoneticPr fontId="6" type="noConversion"/>
  <pageMargins left="0.7" right="0.7" top="0.75" bottom="0.75" header="0.3" footer="0.3"/>
  <pageSetup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Price List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marpe</dc:creator>
  <cp:lastModifiedBy>User</cp:lastModifiedBy>
  <dcterms:created xsi:type="dcterms:W3CDTF">2020-07-15T18:35:18Z</dcterms:created>
  <dcterms:modified xsi:type="dcterms:W3CDTF">2023-11-28T20:15:17Z</dcterms:modified>
</cp:coreProperties>
</file>