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esar\Desktop\proyecto 1680-2023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1" l="1"/>
  <c r="G102" i="1"/>
  <c r="G103" i="1" s="1"/>
  <c r="G36" i="1"/>
  <c r="G99" i="1"/>
  <c r="G100" i="1"/>
  <c r="G101" i="1"/>
  <c r="G98" i="1"/>
  <c r="F98" i="1"/>
  <c r="G95" i="1"/>
  <c r="G96" i="1"/>
  <c r="G94" i="1"/>
  <c r="F96" i="1"/>
  <c r="F95" i="1"/>
  <c r="F94" i="1"/>
  <c r="G85" i="1"/>
  <c r="G86" i="1"/>
  <c r="G87" i="1"/>
  <c r="G88" i="1"/>
  <c r="G89" i="1"/>
  <c r="G90" i="1"/>
  <c r="G91" i="1"/>
  <c r="G84" i="1"/>
  <c r="G76" i="1"/>
  <c r="G77" i="1"/>
  <c r="G78" i="1"/>
  <c r="G79" i="1"/>
  <c r="G80" i="1"/>
  <c r="G81" i="1"/>
  <c r="G82" i="1"/>
  <c r="G75" i="1"/>
  <c r="G69" i="1"/>
  <c r="G70" i="1"/>
  <c r="G71" i="1"/>
  <c r="G72" i="1"/>
  <c r="G73" i="1"/>
  <c r="F87" i="1"/>
  <c r="F86" i="1"/>
  <c r="F85" i="1"/>
  <c r="F84" i="1"/>
  <c r="F82" i="1"/>
  <c r="F81" i="1"/>
  <c r="F80" i="1"/>
  <c r="F79" i="1"/>
  <c r="F78" i="1"/>
  <c r="F77" i="1"/>
  <c r="F76" i="1"/>
  <c r="F75" i="1"/>
  <c r="F73" i="1"/>
  <c r="F72" i="1"/>
  <c r="F71" i="1"/>
  <c r="F70" i="1"/>
  <c r="F69" i="1"/>
  <c r="F68" i="1"/>
  <c r="G68" i="1" s="1"/>
  <c r="G63" i="1"/>
  <c r="G64" i="1"/>
  <c r="G65" i="1"/>
  <c r="G66" i="1"/>
  <c r="G62" i="1"/>
  <c r="G60" i="1"/>
  <c r="G59" i="1"/>
  <c r="F66" i="1"/>
  <c r="F65" i="1"/>
  <c r="F64" i="1"/>
  <c r="F63" i="1"/>
  <c r="F62" i="1"/>
  <c r="F60" i="1"/>
  <c r="F59" i="1"/>
  <c r="G52" i="1"/>
  <c r="G53" i="1"/>
  <c r="G54" i="1"/>
  <c r="G55" i="1"/>
  <c r="G56" i="1"/>
  <c r="G57" i="1"/>
  <c r="G51" i="1"/>
  <c r="G50" i="1"/>
  <c r="F56" i="1"/>
  <c r="F55" i="1"/>
  <c r="F54" i="1"/>
  <c r="F53" i="1"/>
  <c r="F52" i="1"/>
  <c r="F51" i="1"/>
  <c r="G45" i="1"/>
  <c r="G46" i="1"/>
  <c r="G47" i="1"/>
  <c r="G48" i="1"/>
  <c r="G44" i="1"/>
  <c r="G42" i="1"/>
  <c r="G41" i="1"/>
  <c r="G37" i="1"/>
  <c r="G38" i="1"/>
  <c r="G39" i="1"/>
  <c r="F48" i="1"/>
  <c r="F47" i="1"/>
  <c r="F46" i="1"/>
  <c r="F45" i="1"/>
  <c r="F44" i="1"/>
  <c r="F42" i="1"/>
  <c r="F41" i="1"/>
  <c r="F39" i="1"/>
  <c r="F38" i="1"/>
  <c r="F37" i="1"/>
  <c r="F36" i="1"/>
  <c r="G34" i="1"/>
  <c r="G29" i="1"/>
  <c r="G30" i="1"/>
  <c r="G31" i="1"/>
  <c r="G32" i="1"/>
  <c r="G33" i="1"/>
  <c r="G28" i="1"/>
  <c r="F32" i="1"/>
  <c r="F31" i="1"/>
  <c r="F30" i="1"/>
  <c r="F29" i="1"/>
  <c r="F28" i="1"/>
  <c r="G25" i="1"/>
  <c r="G26" i="1"/>
  <c r="G24" i="1"/>
  <c r="F26" i="1"/>
  <c r="F25" i="1"/>
  <c r="F24" i="1"/>
  <c r="G21" i="1"/>
  <c r="G22" i="1"/>
  <c r="G20" i="1"/>
  <c r="F22" i="1"/>
  <c r="F21" i="1"/>
  <c r="F20" i="1"/>
  <c r="G18" i="1"/>
  <c r="F17" i="1"/>
  <c r="G17" i="1" s="1"/>
  <c r="F16" i="1"/>
  <c r="G16" i="1" s="1"/>
  <c r="F15" i="1"/>
  <c r="F14" i="1"/>
  <c r="F13" i="1"/>
  <c r="G13" i="1" s="1"/>
  <c r="G15" i="1"/>
  <c r="G14" i="1"/>
  <c r="G5" i="1"/>
  <c r="G6" i="1"/>
  <c r="G7" i="1"/>
  <c r="G8" i="1"/>
  <c r="G9" i="1"/>
  <c r="G10" i="1"/>
  <c r="G11" i="1"/>
  <c r="G4" i="1"/>
  <c r="G12" i="1" s="1"/>
</calcChain>
</file>

<file path=xl/sharedStrings.xml><?xml version="1.0" encoding="utf-8"?>
<sst xmlns="http://schemas.openxmlformats.org/spreadsheetml/2006/main" count="189" uniqueCount="102">
  <si>
    <t>UNIDAD DE MEDIDA</t>
  </si>
  <si>
    <t>CANTIDAD</t>
  </si>
  <si>
    <t>UNIDAD</t>
  </si>
  <si>
    <t>HORA</t>
  </si>
  <si>
    <t>REFRIGERIO</t>
  </si>
  <si>
    <t>PLAN</t>
  </si>
  <si>
    <t>HORAS</t>
  </si>
  <si>
    <t>TALLERISTA tallerista, profesional en derecho o ciecias politicas, administrativas y juridicas, experiencia especifica minimo de 2 años en capacitaciones y formacion del codigo nacional de policia, resolucion de conflictos y proyectos sociales</t>
  </si>
  <si>
    <t>TOTAL</t>
  </si>
  <si>
    <t>VALOR UNITARIO</t>
  </si>
  <si>
    <t>VALOR TOTAL</t>
  </si>
  <si>
    <t>DESCRIPCION</t>
  </si>
  <si>
    <t>ITEM</t>
  </si>
  <si>
    <t>PRECIOS TECHO</t>
  </si>
  <si>
    <t xml:space="preserve">COORDINADOR GENERAL
</t>
  </si>
  <si>
    <t>ASISTENTE ADMINISTRATIVO</t>
  </si>
  <si>
    <t>TRABAJADOR/A SOCIAL</t>
  </si>
  <si>
    <t>PSICOLOGO</t>
  </si>
  <si>
    <t xml:space="preserve">EXPERTO INSTALADOR DE KITS DE SEGURIDAD       </t>
  </si>
  <si>
    <t xml:space="preserve">TECNICO INSTALADOR                                              </t>
  </si>
  <si>
    <t>PROFESIONAL DE APOYO  DEL BARRISMO SOCIAL</t>
  </si>
  <si>
    <t xml:space="preserve">DINAMIZADORES.
</t>
  </si>
  <si>
    <t>MESES</t>
  </si>
  <si>
    <t>TOTAL EQUIPO HUMANO</t>
  </si>
  <si>
    <t xml:space="preserve">Afiches:promocionales impresos en propalcote de 150 gr. Tamaño pliego con imágenes e información general de las actividades del proyecto, con las siguientes especificaciones: Tamaño 50 x 70 cm, en papel reciclado a cuatro (4) tintas </t>
  </si>
  <si>
    <t>volantes; características: VOLANTE TAMAÑO MEDIA CARTA PAPEL BOND 90 GRS; TINTA:2x0.</t>
  </si>
  <si>
    <t>Estación de café Servicio de cafetería (tinto, aromática y agua): Operario + presentación mesa + vasos de cartón bebida caliente 4 oz. + mezclador + azúcar + crema para café).</t>
  </si>
  <si>
    <t>REFRIGERIOS: REFRIGERIOS: Compuestos de un sólido: jugos naturales envasados en tetrapack, con acompañamiento de sal (sándwich, pastel de pollo, entre otros) fruta y dulce). se debe estregar debidamente empacados, en contenedor transparente, rectangular auto sellable y reutilizable, que cumpla las normas técnicas de seguridad de la Secretaria Distrital de salud</t>
  </si>
  <si>
    <t>PLAN DE MEDIOS COMUNITARIOS que apoye dichas jornadas y la difusión en la localidad del trabajo realizado de todo el proyecto (redes sociales, cuñas, radio, periodico comunitario,  convocatorias)</t>
  </si>
  <si>
    <t>TOTAL DIVULGACION</t>
  </si>
  <si>
    <t>ACTIVIDAD 1:</t>
  </si>
  <si>
    <t>ALQUILER DE ESPACIO El operador deberá alquilar Salones comunales para la realización de estos mediante las juntas de acción comunal</t>
  </si>
  <si>
    <t>REFRIGERIOS: Compuestos de un sólido: jugos naturales envasados en tetrapack, con acompañamiento de sal (sándwich, pastel de pollo, entre otros) fruta y dulce). se debe estregar debidamente empacados, en contenedor transparente, rectangular auto sellable y reutilizable, que cumpla las normas técnicas de seguridad de la Secretaria Distrital de salud</t>
  </si>
  <si>
    <t xml:space="preserve">TALLERISTA : Profesional para formación Convivencia y cultura ciudadana, Código Nacional de Seguridad y Convivencia Ciudadana:
</t>
  </si>
  <si>
    <t>ACTIVIDAD 2</t>
  </si>
  <si>
    <t xml:space="preserve">TALLERISTA : Profesional para formación Convivencia y cultura ciudadana, Código Nacional de Seguridad y Convivencia Ciudadana, Manejo de equipos de monitoreo y alarmas comunitarias personas x 4 horas (presencial) 
</t>
  </si>
  <si>
    <t>ACTIVIDAD 3: KITS TECNOLOGICOS</t>
  </si>
  <si>
    <t>CAMARA DE VIDEO VIGILANCIA EXTERIOR</t>
  </si>
  <si>
    <t xml:space="preserve">UNIDAD NVR - MIN. MEMORIA 8 TERAS </t>
  </si>
  <si>
    <t xml:space="preserve">RAC DE PARED - </t>
  </si>
  <si>
    <t xml:space="preserve">TELEVISOR/monitor  32 PULGADAS </t>
  </si>
  <si>
    <t>UPS ON LINE DE 1 - 2 KVA</t>
  </si>
  <si>
    <t>SERVICIO DE INSTALACIÓN DE ELEMENTOS DE SEGURIDAD  - (TODOCOSTO)</t>
  </si>
  <si>
    <t>TOTAL COMPONENTE 1: ESCUELAS DE SEGURIDAD</t>
  </si>
  <si>
    <t>ACTIVIDAD 1: ECOBATUCADAS POR LA RECONCILIACION EN EL TERITORIO 2.0</t>
  </si>
  <si>
    <t xml:space="preserve">TALLERISTAS  Técnico o tecnólogo en diseño gráfico y/o afines con manejo de muralismo y/o eco batucadas
Experiencia específica: Mínima de un (1) año en procesos de formación con barrismo social y/o población juvenil 
</t>
  </si>
  <si>
    <t>KIT DE ESTUDIO Una libreta grande papel bond, juego de colores, lápices, fotocopias, un esfero y un bolso en material tela contra marcado con los logos del proyecto.</t>
  </si>
  <si>
    <t xml:space="preserve">REFRIGERIOS: REFRIGERIOS: Compuestos de un sólido: jugos naturales envasados en tetrapack, con acompañamiento de sal (sándwich, pastel de pollo, entre otros) fruta y dulce). se debe estregar debidamente empacados, en contenedor transparente, rectangular auto sellable y reutilizable, que cumpla las normas técnicas de seguridad de la Secretaria Distrital de salud: para 6 talleres presenciales </t>
  </si>
  <si>
    <t>ECOBATUCADA</t>
  </si>
  <si>
    <t xml:space="preserve">Camiseta tipo polo Camiseta polo en tela polux  , manga corta, cuello y puños en la misma tela, tallas de dama y caballero de la S-XL, 2 logos bordados tamaño bolsillo. 100 poliéster, protección solar, transpirabilidad, textura piqué. </t>
  </si>
  <si>
    <t xml:space="preserve"> Gorra beisbolera unisex Gorra De Béisbol De Algodón Clásico Sombrero Deportivo Con Correa Ajustable Transpirable Al Aire Libre De Sol</t>
  </si>
  <si>
    <t>MURALISMO</t>
  </si>
  <si>
    <t>Pinturas en aceite varios colores para exteriores</t>
  </si>
  <si>
    <t>CANECAS</t>
  </si>
  <si>
    <t xml:space="preserve">	KIT DE BROCHAS Y PINCELES</t>
  </si>
  <si>
    <t>BROCHAS</t>
  </si>
  <si>
    <t>Pintura Spray Colores Surtidos</t>
  </si>
  <si>
    <t>LATAS</t>
  </si>
  <si>
    <t>CAMPEONATO RELAMPAGO</t>
  </si>
  <si>
    <t>SONIDO Un amplificador 5000 Watts. Un ecualizador 30 bandas por canal estéreo. Una mezcladora de 6canales. Dos bafles amplificados. Dos tripies para bocina: Micrófono alámbrico o inalámbrico. Un reproductor de CD portátil, para poder reprodu</t>
  </si>
  <si>
    <t>JUZGAMIENTO: duplas anotador y juez (debidamente reconocidos ante la liga deportiva de la disciplina</t>
  </si>
  <si>
    <t>Uniformes para participantes: Camiseta para futbol en tela montesimone, manga corta con logos (institucionales) y número estampado, pantaloneta para futbol en tela montesimone - caucho de 3 cm, alta densidad, número y logos (institucionales) medias elásticas en poliéster tipo profesional. (El contratista deberá entregar certificación y ficha técnica de la tela emitida por el proveedor del
material)</t>
  </si>
  <si>
    <t>EVENTO</t>
  </si>
  <si>
    <t>BALON  DE FUTBOL GOLTY # 5</t>
  </si>
  <si>
    <t xml:space="preserve">TROFEOS PRIMER PUESTO  50 cms de altura, base en madera copa biselada y placas fotograbadas color dorado. </t>
  </si>
  <si>
    <t>MEDALLAS</t>
  </si>
  <si>
    <t>PREMIACION PARA CADA EQUIPO DE BARRAS PARTICIPANTE</t>
  </si>
  <si>
    <t>ALQUILER ESPACIO (CANCHAS)</t>
  </si>
  <si>
    <t>ACTIVIDAD 2:  PROCESO DE FORMACIÓN PREVENCIÒN DE VIOLENCIAS CONTRA LA MUJER</t>
  </si>
  <si>
    <t>KIT DE MATERTIALES Agenda ecológica con los logos institucionales y esfero (Medida: Carta 12x17, papel ecologico, a 1 tinta) un bolso en material tela quirúrgica contra marcado con los logos del proyecto</t>
  </si>
  <si>
    <t>Certificado impresos en opalina policromía tamaño carta</t>
  </si>
  <si>
    <t>TALLER DE TEATRO</t>
  </si>
  <si>
    <t>Montaje producto final incluye escenografía, vestuario para 2 obras teatrales</t>
  </si>
  <si>
    <t>GLOBAL</t>
  </si>
  <si>
    <t>MATERIAL PARA EL DESARROLLO DE LOS TALLERES</t>
  </si>
  <si>
    <t>GRUPOS</t>
  </si>
  <si>
    <t xml:space="preserve">TALLERISTAPerfil: Profesional en licenciatura en teatro con dos años de experiencia 
Experiencia específica: Mínima de un (1) año en procesos de formación relacionados en capacitación a personas adultas. </t>
  </si>
  <si>
    <t>TALLER DE VIDEO</t>
  </si>
  <si>
    <t>Montaje producto final preproducción producción y post producción de 1 cortometrajes de aproximadamente 15 minutos</t>
  </si>
  <si>
    <t>Multicopiado de los 1 cortometraje</t>
  </si>
  <si>
    <t xml:space="preserve">UNIDAD </t>
  </si>
  <si>
    <t xml:space="preserve">TALLERISTA
Perfil: Profesional en cine y fotografía y/o comunicador social,
Experiencia específica: Mínima dos (2) años en procesos de formación relacionados en capacitación a personas adultas </t>
  </si>
  <si>
    <t>EVENTO FINAL</t>
  </si>
  <si>
    <t>Plan de contingencia espacio cerrado, radicaciones a sus respectivas Entes de control, Cartas y Autorizaciones, Planimetría del espacio y Rutas de Evacuación. Ambulancia Básica, conductor vial, auxiliar de enfermería. operadores logísticos con chaquetas reflectivas, pantalón Negro, zapatos negros, camisa blanca, equipo de comunicación, linterna. C/U (2horas).</t>
  </si>
  <si>
    <t>Alquiler video beam proyector gama media 3000 lúmenes</t>
  </si>
  <si>
    <t>Alquiler de Sonido de 2000 Watts. Incluye: 2 cabinas, 1 consola, 1 unidad lectora de DVD, micrófono alámbrico e inalámbrico, base para micrófono, trípodes para cabina y 1 técnico de sonido, cables y conexiones.</t>
  </si>
  <si>
    <t>SONIDO</t>
  </si>
  <si>
    <t>: REFRIGERIOS: Compuestos de un sólido: jugos naturales envasados en tetrapack, con acompañamiento de sal (sándwich, pastel de pollo, entre otros) fruta y dulce). se debe estregar debidamente empacados, en contenedor transparente, rectangular auto sellable y reutilizable, que cumpla las normas técnicas de seguridad de la Secretaria Distrital de salud</t>
  </si>
  <si>
    <t>Alquiler de tarima de Dimensión 6 x 6 y techo tipo hangar (evento final tendrá una duración de   maximo 8 horas)</t>
  </si>
  <si>
    <t>ALQUILER TARIMA</t>
  </si>
  <si>
    <t xml:space="preserve">C Camiseta  en tela polux  , manga corta, cuello y puños en la misma tela, tallas de dama y caballero de la S-XL, 2 logos bordados tamaño bolsillo. 100 poliéster, protección solar, transpirabilidad, textura piqué. </t>
  </si>
  <si>
    <t>TRANSPORTE para 90 personas ida
y vuelta a Rafael Uribe Uribe</t>
  </si>
  <si>
    <t>TRANSPORTE</t>
  </si>
  <si>
    <t>INICIATIVA PRIORIZADA 22157 fortalecimiento a la seguridad en san Juanito</t>
  </si>
  <si>
    <t>KIT DE MATERIALES Agenda ecológica con los logos institucionales y esfero (Medida: Carta 12x17, papel ecológico, a 1 tinta</t>
  </si>
  <si>
    <t>INICIATIVA PRIORIZADA: “22159 Seguridad como tejido social</t>
  </si>
  <si>
    <t>ACTIVIDAD 1</t>
  </si>
  <si>
    <t>alarma comunitaria</t>
  </si>
  <si>
    <t>Boton de panico Fijo con restauracion de llave y con accesorios de fijacion. Para conexión local en el sitio donde queda el panel de alarma comunitario</t>
  </si>
  <si>
    <t>Boton Panico inalambrico:
Control Remoto RF 433MHz Codigo Fijo Aprendizaje EV1527, compatible con sistemas que operen a la frecuencia mencionada para portones eléctricos, sistemas de seguridad, alarmas de automóvil, automatización, entre otros, cuyo sistema de recepcion tenga codigo fijo EV 1527, 100 metros de alcance a linea vista, incluye bateria Alcalina</t>
  </si>
  <si>
    <t xml:space="preserve">Sirena :
Sirena Alta potencia 12 V 30W con Accesosios de fijacion </t>
  </si>
  <si>
    <t>TOTAL COMPONENTE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</si>
</sst>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C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2" fillId="0" borderId="0" xfId="0" applyFont="1" applyAlignment="1">
      <alignment wrapText="1"/>
    </xf>
    <xf numFmtId="0" fontId="3" fillId="0" borderId="0" xfId="0" applyFont="1"/>
    <xf numFmtId="0" fontId="4" fillId="0" borderId="0" xfId="0" applyFont="1"/>
    <xf numFmtId="0" fontId="2" fillId="0" borderId="0" xfId="0" applyFont="1" applyAlignment="1"/>
    <xf numFmtId="0" fontId="2" fillId="0" borderId="1" xfId="0" applyFont="1" applyBorder="1"/>
    <xf numFmtId="3" fontId="2" fillId="0" borderId="1" xfId="0" applyNumberFormat="1" applyFont="1" applyBorder="1"/>
    <xf numFmtId="0" fontId="4" fillId="0" borderId="1" xfId="0" applyFont="1" applyBorder="1"/>
    <xf numFmtId="0" fontId="3" fillId="0" borderId="1" xfId="0" applyFont="1" applyBorder="1"/>
    <xf numFmtId="0" fontId="1" fillId="0" borderId="1" xfId="0" applyFont="1" applyBorder="1"/>
    <xf numFmtId="3" fontId="1" fillId="0" borderId="1" xfId="0" applyNumberFormat="1" applyFont="1" applyBorder="1"/>
    <xf numFmtId="0" fontId="6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5" fillId="0" borderId="1" xfId="0" applyFont="1" applyBorder="1"/>
    <xf numFmtId="0" fontId="4" fillId="0" borderId="0" xfId="0" applyFont="1" applyBorder="1" applyAlignment="1">
      <alignment horizontal="center" wrapText="1"/>
    </xf>
    <xf numFmtId="0" fontId="10" fillId="2" borderId="1" xfId="0" applyFont="1" applyFill="1" applyBorder="1" applyAlignment="1">
      <alignment vertical="center" wrapText="1"/>
    </xf>
    <xf numFmtId="0" fontId="2" fillId="0" borderId="0" xfId="0" applyFont="1" applyFill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14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3" xfId="0" applyFont="1" applyBorder="1"/>
    <xf numFmtId="0" fontId="4" fillId="0" borderId="3" xfId="0" applyFont="1" applyBorder="1"/>
    <xf numFmtId="0" fontId="17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left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0" fontId="3" fillId="0" borderId="3" xfId="0" applyFont="1" applyBorder="1"/>
    <xf numFmtId="0" fontId="2" fillId="0" borderId="3" xfId="0" applyFont="1" applyFill="1" applyBorder="1"/>
    <xf numFmtId="0" fontId="7" fillId="3" borderId="4" xfId="0" applyFont="1" applyFill="1" applyBorder="1" applyAlignment="1">
      <alignment horizontal="center" vertical="center" wrapText="1"/>
    </xf>
    <xf numFmtId="0" fontId="8" fillId="4" borderId="5" xfId="0" applyFont="1" applyFill="1" applyBorder="1"/>
    <xf numFmtId="0" fontId="8" fillId="4" borderId="6" xfId="0" applyFont="1" applyFill="1" applyBorder="1"/>
    <xf numFmtId="0" fontId="4" fillId="0" borderId="9" xfId="0" applyFont="1" applyBorder="1"/>
    <xf numFmtId="0" fontId="8" fillId="4" borderId="1" xfId="0" applyFont="1" applyFill="1" applyBorder="1"/>
    <xf numFmtId="0" fontId="9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1" fillId="3" borderId="1" xfId="0" applyFont="1" applyFill="1" applyBorder="1" applyAlignment="1">
      <alignment horizontal="center" wrapText="1"/>
    </xf>
    <xf numFmtId="0" fontId="12" fillId="4" borderId="1" xfId="0" applyFont="1" applyFill="1" applyBorder="1"/>
    <xf numFmtId="0" fontId="13" fillId="0" borderId="3" xfId="0" applyFont="1" applyBorder="1"/>
    <xf numFmtId="0" fontId="2" fillId="0" borderId="10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3" fontId="18" fillId="0" borderId="0" xfId="0" applyNumberFormat="1" applyFont="1"/>
    <xf numFmtId="3" fontId="2" fillId="5" borderId="1" xfId="0" applyNumberFormat="1" applyFont="1" applyFill="1" applyBorder="1"/>
    <xf numFmtId="3" fontId="4" fillId="5" borderId="9" xfId="0" applyNumberFormat="1" applyFont="1" applyFill="1" applyBorder="1"/>
    <xf numFmtId="3" fontId="1" fillId="5" borderId="9" xfId="0" applyNumberFormat="1" applyFont="1" applyFill="1" applyBorder="1"/>
    <xf numFmtId="3" fontId="1" fillId="5" borderId="1" xfId="0" applyNumberFormat="1" applyFont="1" applyFill="1" applyBorder="1"/>
    <xf numFmtId="3" fontId="3" fillId="5" borderId="1" xfId="0" applyNumberFormat="1" applyFont="1" applyFill="1" applyBorder="1"/>
    <xf numFmtId="0" fontId="1" fillId="6" borderId="1" xfId="0" applyFont="1" applyFill="1" applyBorder="1" applyAlignment="1">
      <alignment horizontal="center" vertical="center" wrapText="1"/>
    </xf>
    <xf numFmtId="3" fontId="1" fillId="6" borderId="1" xfId="0" applyNumberFormat="1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3"/>
  <sheetViews>
    <sheetView tabSelected="1" topLeftCell="A92" workbookViewId="0">
      <selection activeCell="F6" sqref="F6"/>
    </sheetView>
  </sheetViews>
  <sheetFormatPr baseColWidth="10" defaultRowHeight="12" x14ac:dyDescent="0.2"/>
  <cols>
    <col min="1" max="1" width="6.42578125" style="1" customWidth="1"/>
    <col min="2" max="2" width="73.42578125" style="3" customWidth="1"/>
    <col min="3" max="3" width="14.7109375" style="1" customWidth="1"/>
    <col min="4" max="5" width="11.28515625" style="1" customWidth="1"/>
    <col min="6" max="6" width="14.140625" style="2" customWidth="1"/>
    <col min="7" max="7" width="11.42578125" style="2"/>
    <col min="8" max="16384" width="11.42578125" style="1"/>
  </cols>
  <sheetData>
    <row r="2" spans="1:9" ht="15" x14ac:dyDescent="0.2">
      <c r="D2" s="6"/>
      <c r="E2" s="6"/>
      <c r="F2" s="81" t="s">
        <v>13</v>
      </c>
      <c r="G2" s="81"/>
    </row>
    <row r="3" spans="1:9" ht="30" x14ac:dyDescent="0.2">
      <c r="A3" s="79" t="s">
        <v>12</v>
      </c>
      <c r="B3" s="79" t="s">
        <v>11</v>
      </c>
      <c r="C3" s="79" t="s">
        <v>0</v>
      </c>
      <c r="D3" s="79" t="s">
        <v>1</v>
      </c>
      <c r="E3" s="79" t="s">
        <v>22</v>
      </c>
      <c r="F3" s="80" t="s">
        <v>9</v>
      </c>
      <c r="G3" s="80" t="s">
        <v>10</v>
      </c>
      <c r="H3" s="80" t="s">
        <v>9</v>
      </c>
      <c r="I3" s="80" t="s">
        <v>10</v>
      </c>
    </row>
    <row r="4" spans="1:9" ht="24.75" x14ac:dyDescent="0.25">
      <c r="A4" s="7">
        <v>1</v>
      </c>
      <c r="B4" s="15" t="s">
        <v>14</v>
      </c>
      <c r="C4" s="14" t="s">
        <v>2</v>
      </c>
      <c r="D4" s="14">
        <v>1</v>
      </c>
      <c r="E4" s="16">
        <v>6</v>
      </c>
      <c r="F4" s="74">
        <v>5466666.666666667</v>
      </c>
      <c r="G4" s="74">
        <f>F4*E4</f>
        <v>32800000</v>
      </c>
      <c r="H4" s="7"/>
      <c r="I4" s="7"/>
    </row>
    <row r="5" spans="1:9" ht="15" x14ac:dyDescent="0.25">
      <c r="A5" s="7">
        <v>2</v>
      </c>
      <c r="B5" s="15" t="s">
        <v>15</v>
      </c>
      <c r="C5" s="14" t="s">
        <v>2</v>
      </c>
      <c r="D5" s="14">
        <v>1</v>
      </c>
      <c r="E5" s="16">
        <v>6</v>
      </c>
      <c r="F5" s="74">
        <v>3300000</v>
      </c>
      <c r="G5" s="74">
        <f t="shared" ref="G5:G11" si="0">F5*E5</f>
        <v>19800000</v>
      </c>
      <c r="H5" s="7"/>
      <c r="I5" s="7"/>
    </row>
    <row r="6" spans="1:9" ht="15" x14ac:dyDescent="0.25">
      <c r="A6" s="7">
        <v>3</v>
      </c>
      <c r="B6" s="15" t="s">
        <v>16</v>
      </c>
      <c r="C6" s="14" t="s">
        <v>2</v>
      </c>
      <c r="D6" s="14">
        <v>2</v>
      </c>
      <c r="E6" s="16">
        <v>4</v>
      </c>
      <c r="F6" s="74">
        <v>8400000</v>
      </c>
      <c r="G6" s="74">
        <f t="shared" si="0"/>
        <v>33600000</v>
      </c>
      <c r="H6" s="7"/>
      <c r="I6" s="7"/>
    </row>
    <row r="7" spans="1:9" ht="15" x14ac:dyDescent="0.25">
      <c r="A7" s="7">
        <v>4</v>
      </c>
      <c r="B7" s="15" t="s">
        <v>17</v>
      </c>
      <c r="C7" s="14" t="s">
        <v>2</v>
      </c>
      <c r="D7" s="14">
        <v>2</v>
      </c>
      <c r="E7" s="16">
        <v>3</v>
      </c>
      <c r="F7" s="74">
        <v>8400000</v>
      </c>
      <c r="G7" s="74">
        <f t="shared" si="0"/>
        <v>25200000</v>
      </c>
      <c r="H7" s="7"/>
      <c r="I7" s="7"/>
    </row>
    <row r="8" spans="1:9" ht="15" x14ac:dyDescent="0.25">
      <c r="A8" s="7">
        <v>5</v>
      </c>
      <c r="B8" s="13" t="s">
        <v>18</v>
      </c>
      <c r="C8" s="14" t="s">
        <v>2</v>
      </c>
      <c r="D8" s="14">
        <v>1</v>
      </c>
      <c r="E8" s="16">
        <v>2</v>
      </c>
      <c r="F8" s="74">
        <v>7300000</v>
      </c>
      <c r="G8" s="74">
        <f t="shared" si="0"/>
        <v>14600000</v>
      </c>
      <c r="H8" s="7"/>
      <c r="I8" s="7"/>
    </row>
    <row r="9" spans="1:9" ht="15" x14ac:dyDescent="0.25">
      <c r="A9" s="7">
        <v>6</v>
      </c>
      <c r="B9" s="13" t="s">
        <v>19</v>
      </c>
      <c r="C9" s="14" t="s">
        <v>2</v>
      </c>
      <c r="D9" s="14">
        <v>3</v>
      </c>
      <c r="E9" s="16">
        <v>2</v>
      </c>
      <c r="F9" s="74">
        <v>20066000</v>
      </c>
      <c r="G9" s="74">
        <f t="shared" si="0"/>
        <v>40132000</v>
      </c>
      <c r="H9" s="7"/>
      <c r="I9" s="7"/>
    </row>
    <row r="10" spans="1:9" ht="15" x14ac:dyDescent="0.25">
      <c r="A10" s="7">
        <v>7</v>
      </c>
      <c r="B10" s="13" t="s">
        <v>20</v>
      </c>
      <c r="C10" s="14" t="s">
        <v>2</v>
      </c>
      <c r="D10" s="14">
        <v>1</v>
      </c>
      <c r="E10" s="16">
        <v>4</v>
      </c>
      <c r="F10" s="74">
        <v>4200000</v>
      </c>
      <c r="G10" s="74">
        <f t="shared" si="0"/>
        <v>16800000</v>
      </c>
      <c r="H10" s="7"/>
      <c r="I10" s="7"/>
    </row>
    <row r="11" spans="1:9" ht="24.75" x14ac:dyDescent="0.25">
      <c r="A11" s="7">
        <v>8</v>
      </c>
      <c r="B11" s="15" t="s">
        <v>21</v>
      </c>
      <c r="C11" s="14" t="s">
        <v>2</v>
      </c>
      <c r="D11" s="14">
        <v>6</v>
      </c>
      <c r="E11" s="16">
        <v>4</v>
      </c>
      <c r="F11" s="74">
        <v>13800000</v>
      </c>
      <c r="G11" s="74">
        <f t="shared" si="0"/>
        <v>55200000</v>
      </c>
      <c r="H11" s="7"/>
      <c r="I11" s="7"/>
    </row>
    <row r="12" spans="1:9" s="5" customFormat="1" ht="15" x14ac:dyDescent="0.25">
      <c r="A12" s="9"/>
      <c r="B12" s="51" t="s">
        <v>23</v>
      </c>
      <c r="C12" s="52"/>
      <c r="D12" s="53"/>
      <c r="E12" s="17"/>
      <c r="F12" s="75"/>
      <c r="G12" s="76">
        <f>SUM(G4:G11)</f>
        <v>238132000</v>
      </c>
      <c r="H12" s="54"/>
      <c r="I12" s="54"/>
    </row>
    <row r="13" spans="1:9" ht="36" x14ac:dyDescent="0.2">
      <c r="A13" s="39">
        <v>9</v>
      </c>
      <c r="B13" s="15" t="s">
        <v>24</v>
      </c>
      <c r="C13" s="14" t="s">
        <v>2</v>
      </c>
      <c r="D13" s="14">
        <v>100</v>
      </c>
      <c r="E13" s="7"/>
      <c r="F13" s="74">
        <f>980000/D13</f>
        <v>9800</v>
      </c>
      <c r="G13" s="74">
        <f>F13*D13</f>
        <v>980000</v>
      </c>
      <c r="H13" s="7"/>
      <c r="I13" s="7"/>
    </row>
    <row r="14" spans="1:9" x14ac:dyDescent="0.2">
      <c r="A14" s="39">
        <v>10</v>
      </c>
      <c r="B14" s="15" t="s">
        <v>25</v>
      </c>
      <c r="C14" s="14" t="s">
        <v>2</v>
      </c>
      <c r="D14" s="14">
        <v>1000</v>
      </c>
      <c r="E14" s="7"/>
      <c r="F14" s="74">
        <f>500000/D14</f>
        <v>500</v>
      </c>
      <c r="G14" s="74">
        <f t="shared" ref="G14:G17" si="1">F14*D14</f>
        <v>500000</v>
      </c>
      <c r="H14" s="7"/>
      <c r="I14" s="7"/>
    </row>
    <row r="15" spans="1:9" ht="24" x14ac:dyDescent="0.2">
      <c r="A15" s="39">
        <v>11</v>
      </c>
      <c r="B15" s="15" t="s">
        <v>26</v>
      </c>
      <c r="C15" s="14" t="s">
        <v>2</v>
      </c>
      <c r="D15" s="14">
        <v>50</v>
      </c>
      <c r="E15" s="7"/>
      <c r="F15" s="74">
        <f>180000/D15</f>
        <v>3600</v>
      </c>
      <c r="G15" s="74">
        <f t="shared" si="1"/>
        <v>180000</v>
      </c>
      <c r="H15" s="7"/>
      <c r="I15" s="7"/>
    </row>
    <row r="16" spans="1:9" ht="60" x14ac:dyDescent="0.2">
      <c r="A16" s="39">
        <v>12</v>
      </c>
      <c r="B16" s="15" t="s">
        <v>27</v>
      </c>
      <c r="C16" s="14" t="s">
        <v>2</v>
      </c>
      <c r="D16" s="14">
        <v>50</v>
      </c>
      <c r="E16" s="7"/>
      <c r="F16" s="74">
        <f>523740.831666667/D16</f>
        <v>10474.816633333341</v>
      </c>
      <c r="G16" s="74">
        <f t="shared" si="1"/>
        <v>523740.83166666707</v>
      </c>
      <c r="H16" s="7"/>
      <c r="I16" s="7"/>
    </row>
    <row r="17" spans="1:9" s="5" customFormat="1" ht="36" x14ac:dyDescent="0.2">
      <c r="A17" s="40"/>
      <c r="B17" s="15" t="s">
        <v>28</v>
      </c>
      <c r="C17" s="14" t="s">
        <v>2</v>
      </c>
      <c r="D17" s="14">
        <v>1</v>
      </c>
      <c r="E17" s="9"/>
      <c r="F17" s="74">
        <f>3500000/D17</f>
        <v>3500000</v>
      </c>
      <c r="G17" s="74">
        <f t="shared" si="1"/>
        <v>3500000</v>
      </c>
      <c r="H17" s="9"/>
      <c r="I17" s="9"/>
    </row>
    <row r="18" spans="1:9" ht="15" x14ac:dyDescent="0.25">
      <c r="A18" s="39"/>
      <c r="B18" s="43" t="s">
        <v>29</v>
      </c>
      <c r="C18" s="55"/>
      <c r="D18" s="55"/>
      <c r="E18" s="7"/>
      <c r="F18" s="74"/>
      <c r="G18" s="77">
        <f>SUM(G13:G17)</f>
        <v>5683740.831666667</v>
      </c>
      <c r="H18" s="7"/>
      <c r="I18" s="7"/>
    </row>
    <row r="19" spans="1:9" ht="15.75" x14ac:dyDescent="0.2">
      <c r="A19" s="39"/>
      <c r="B19" s="56" t="s">
        <v>30</v>
      </c>
      <c r="C19" s="20"/>
      <c r="D19" s="20"/>
      <c r="E19" s="7"/>
      <c r="F19" s="8"/>
      <c r="G19" s="8"/>
      <c r="H19" s="7"/>
      <c r="I19" s="7"/>
    </row>
    <row r="20" spans="1:9" ht="24" x14ac:dyDescent="0.2">
      <c r="A20" s="39">
        <v>13</v>
      </c>
      <c r="B20" s="57" t="s">
        <v>31</v>
      </c>
      <c r="C20" s="14" t="s">
        <v>3</v>
      </c>
      <c r="D20" s="26">
        <v>28</v>
      </c>
      <c r="E20" s="7"/>
      <c r="F20" s="74">
        <f>1960000/D20</f>
        <v>70000</v>
      </c>
      <c r="G20" s="74">
        <f>F20*D20</f>
        <v>1960000</v>
      </c>
      <c r="H20" s="7"/>
      <c r="I20" s="7"/>
    </row>
    <row r="21" spans="1:9" ht="60" x14ac:dyDescent="0.2">
      <c r="A21" s="39">
        <v>14</v>
      </c>
      <c r="B21" s="57" t="s">
        <v>32</v>
      </c>
      <c r="C21" s="14" t="s">
        <v>4</v>
      </c>
      <c r="D21" s="26">
        <v>700</v>
      </c>
      <c r="E21" s="7"/>
      <c r="F21" s="74">
        <f>7332371.64333333/D21</f>
        <v>10474.816633333328</v>
      </c>
      <c r="G21" s="74">
        <f t="shared" ref="G21:G22" si="2">F21*D21</f>
        <v>7332371.6433333298</v>
      </c>
      <c r="H21" s="7"/>
      <c r="I21" s="7"/>
    </row>
    <row r="22" spans="1:9" ht="48" x14ac:dyDescent="0.25">
      <c r="A22" s="39">
        <v>15</v>
      </c>
      <c r="B22" s="57" t="s">
        <v>33</v>
      </c>
      <c r="C22" s="21" t="s">
        <v>2</v>
      </c>
      <c r="D22" s="21">
        <v>28</v>
      </c>
      <c r="E22" s="7"/>
      <c r="F22" s="74">
        <f>3360000/D22</f>
        <v>120000</v>
      </c>
      <c r="G22" s="74">
        <f t="shared" si="2"/>
        <v>3360000</v>
      </c>
      <c r="H22" s="7"/>
      <c r="I22" s="7"/>
    </row>
    <row r="23" spans="1:9" ht="15" x14ac:dyDescent="0.2">
      <c r="A23" s="39"/>
      <c r="B23" s="58" t="s">
        <v>34</v>
      </c>
      <c r="C23" s="20"/>
      <c r="D23" s="20"/>
      <c r="E23" s="7"/>
      <c r="F23" s="74"/>
      <c r="G23" s="74"/>
      <c r="H23" s="7"/>
      <c r="I23" s="7"/>
    </row>
    <row r="24" spans="1:9" ht="24" x14ac:dyDescent="0.2">
      <c r="A24" s="39">
        <v>16</v>
      </c>
      <c r="B24" s="57" t="s">
        <v>31</v>
      </c>
      <c r="C24" s="14" t="s">
        <v>3</v>
      </c>
      <c r="D24" s="26">
        <v>28</v>
      </c>
      <c r="E24" s="7"/>
      <c r="F24" s="74">
        <f>1960000/D24</f>
        <v>70000</v>
      </c>
      <c r="G24" s="74">
        <f>F24*D24</f>
        <v>1960000</v>
      </c>
      <c r="H24" s="7"/>
      <c r="I24" s="7"/>
    </row>
    <row r="25" spans="1:9" ht="60" x14ac:dyDescent="0.2">
      <c r="A25" s="39">
        <v>17</v>
      </c>
      <c r="B25" s="57" t="s">
        <v>32</v>
      </c>
      <c r="C25" s="14" t="s">
        <v>4</v>
      </c>
      <c r="D25" s="26">
        <v>350</v>
      </c>
      <c r="E25" s="7"/>
      <c r="F25" s="74">
        <f>3666185.82166667/D25</f>
        <v>10474.816633333343</v>
      </c>
      <c r="G25" s="74">
        <f t="shared" ref="G25:G26" si="3">F25*D25</f>
        <v>3666185.82166667</v>
      </c>
      <c r="H25" s="7"/>
      <c r="I25" s="7"/>
    </row>
    <row r="26" spans="1:9" ht="60" x14ac:dyDescent="0.25">
      <c r="A26" s="39">
        <v>18</v>
      </c>
      <c r="B26" s="57" t="s">
        <v>35</v>
      </c>
      <c r="C26" s="21" t="s">
        <v>2</v>
      </c>
      <c r="D26" s="21">
        <v>28</v>
      </c>
      <c r="E26" s="7"/>
      <c r="F26" s="74">
        <f>3360000/D26</f>
        <v>120000</v>
      </c>
      <c r="G26" s="74">
        <f t="shared" si="3"/>
        <v>3360000</v>
      </c>
      <c r="H26" s="7"/>
      <c r="I26" s="7"/>
    </row>
    <row r="27" spans="1:9" ht="12.75" x14ac:dyDescent="0.2">
      <c r="A27" s="39"/>
      <c r="B27" s="59" t="s">
        <v>36</v>
      </c>
      <c r="C27" s="14"/>
      <c r="D27" s="26"/>
      <c r="E27" s="7"/>
      <c r="F27" s="74"/>
      <c r="G27" s="74"/>
      <c r="H27" s="7"/>
      <c r="I27" s="7"/>
    </row>
    <row r="28" spans="1:9" ht="15" x14ac:dyDescent="0.25">
      <c r="A28" s="39">
        <v>19</v>
      </c>
      <c r="B28" s="18" t="s">
        <v>37</v>
      </c>
      <c r="C28" s="21" t="s">
        <v>2</v>
      </c>
      <c r="D28" s="31">
        <v>50</v>
      </c>
      <c r="E28" s="7"/>
      <c r="F28" s="74">
        <f>52450000/D28</f>
        <v>1049000</v>
      </c>
      <c r="G28" s="74">
        <f>F28*D28</f>
        <v>52450000</v>
      </c>
      <c r="H28" s="7"/>
      <c r="I28" s="7"/>
    </row>
    <row r="29" spans="1:9" ht="15" x14ac:dyDescent="0.25">
      <c r="A29" s="39">
        <v>20</v>
      </c>
      <c r="B29" s="18" t="s">
        <v>38</v>
      </c>
      <c r="C29" s="21" t="s">
        <v>2</v>
      </c>
      <c r="D29" s="31">
        <v>5</v>
      </c>
      <c r="E29" s="7"/>
      <c r="F29" s="74">
        <f>29318000/5</f>
        <v>5863600</v>
      </c>
      <c r="G29" s="74">
        <f t="shared" ref="G29:G33" si="4">F29*D29</f>
        <v>29318000</v>
      </c>
      <c r="H29" s="7"/>
      <c r="I29" s="7"/>
    </row>
    <row r="30" spans="1:9" ht="15" x14ac:dyDescent="0.25">
      <c r="A30" s="39">
        <v>21</v>
      </c>
      <c r="B30" s="18" t="s">
        <v>39</v>
      </c>
      <c r="C30" s="21" t="s">
        <v>2</v>
      </c>
      <c r="D30" s="31">
        <v>5</v>
      </c>
      <c r="E30" s="7"/>
      <c r="F30" s="74">
        <f>3740000/5</f>
        <v>748000</v>
      </c>
      <c r="G30" s="74">
        <f t="shared" si="4"/>
        <v>3740000</v>
      </c>
      <c r="H30" s="7"/>
      <c r="I30" s="7"/>
    </row>
    <row r="31" spans="1:9" ht="15" x14ac:dyDescent="0.25">
      <c r="A31" s="39">
        <v>22</v>
      </c>
      <c r="B31" s="18" t="s">
        <v>40</v>
      </c>
      <c r="C31" s="21" t="s">
        <v>2</v>
      </c>
      <c r="D31" s="31">
        <v>5</v>
      </c>
      <c r="E31" s="7"/>
      <c r="F31" s="74">
        <f>11698800/D31</f>
        <v>2339760</v>
      </c>
      <c r="G31" s="74">
        <f t="shared" si="4"/>
        <v>11698800</v>
      </c>
      <c r="H31" s="7"/>
      <c r="I31" s="7"/>
    </row>
    <row r="32" spans="1:9" s="4" customFormat="1" ht="15" x14ac:dyDescent="0.25">
      <c r="A32" s="49">
        <v>23</v>
      </c>
      <c r="B32" s="18" t="s">
        <v>41</v>
      </c>
      <c r="C32" s="21" t="s">
        <v>2</v>
      </c>
      <c r="D32" s="31">
        <v>5</v>
      </c>
      <c r="E32" s="10"/>
      <c r="F32" s="78">
        <f>11483500/D32</f>
        <v>2296700</v>
      </c>
      <c r="G32" s="74">
        <f t="shared" si="4"/>
        <v>11483500</v>
      </c>
      <c r="H32" s="10"/>
      <c r="I32" s="10"/>
    </row>
    <row r="33" spans="1:10" ht="15" x14ac:dyDescent="0.2">
      <c r="A33" s="39">
        <v>24</v>
      </c>
      <c r="B33" s="18" t="s">
        <v>42</v>
      </c>
      <c r="C33" s="18"/>
      <c r="D33" s="31">
        <v>1</v>
      </c>
      <c r="E33" s="7"/>
      <c r="F33" s="74">
        <v>70674900</v>
      </c>
      <c r="G33" s="74">
        <f t="shared" si="4"/>
        <v>70674900</v>
      </c>
      <c r="H33" s="7"/>
      <c r="I33" s="7"/>
    </row>
    <row r="34" spans="1:10" ht="15.75" x14ac:dyDescent="0.25">
      <c r="A34" s="39"/>
      <c r="B34" s="60" t="s">
        <v>43</v>
      </c>
      <c r="C34" s="61"/>
      <c r="D34" s="61"/>
      <c r="E34" s="7"/>
      <c r="F34" s="74"/>
      <c r="G34" s="77">
        <f>SUM(G20:G33)</f>
        <v>201003757.465</v>
      </c>
      <c r="H34" s="7"/>
      <c r="I34" s="7"/>
    </row>
    <row r="35" spans="1:10" s="19" customFormat="1" ht="15" customHeight="1" x14ac:dyDescent="0.25">
      <c r="A35" s="50"/>
      <c r="B35" s="45" t="s">
        <v>44</v>
      </c>
      <c r="C35" s="46"/>
      <c r="D35" s="46"/>
      <c r="E35" s="46"/>
      <c r="F35" s="47"/>
      <c r="G35" s="44"/>
      <c r="H35" s="44"/>
      <c r="I35" s="44"/>
      <c r="J35" s="38"/>
    </row>
    <row r="36" spans="1:10" ht="60" x14ac:dyDescent="0.2">
      <c r="A36" s="39">
        <v>25</v>
      </c>
      <c r="B36" s="27" t="s">
        <v>45</v>
      </c>
      <c r="C36" s="14" t="s">
        <v>3</v>
      </c>
      <c r="D36" s="14">
        <v>24</v>
      </c>
      <c r="E36" s="7"/>
      <c r="F36" s="74">
        <f>2880000/D36</f>
        <v>120000</v>
      </c>
      <c r="G36" s="74">
        <f>F36*D36</f>
        <v>2880000</v>
      </c>
      <c r="H36" s="7"/>
      <c r="I36" s="7"/>
    </row>
    <row r="37" spans="1:10" ht="24" x14ac:dyDescent="0.2">
      <c r="A37" s="39">
        <v>26</v>
      </c>
      <c r="B37" s="27" t="s">
        <v>46</v>
      </c>
      <c r="C37" s="14" t="s">
        <v>2</v>
      </c>
      <c r="D37" s="14">
        <v>60</v>
      </c>
      <c r="E37" s="7"/>
      <c r="F37" s="74">
        <f>4200000/D37</f>
        <v>70000</v>
      </c>
      <c r="G37" s="74">
        <f t="shared" ref="G37:G39" si="5">F37*D37</f>
        <v>4200000</v>
      </c>
      <c r="H37" s="7"/>
      <c r="I37" s="7"/>
    </row>
    <row r="38" spans="1:10" ht="24" x14ac:dyDescent="0.2">
      <c r="A38" s="39">
        <v>27</v>
      </c>
      <c r="B38" s="27" t="s">
        <v>31</v>
      </c>
      <c r="C38" s="14" t="s">
        <v>3</v>
      </c>
      <c r="D38" s="26">
        <v>24</v>
      </c>
      <c r="E38" s="7"/>
      <c r="F38" s="74">
        <f>1680000/D38</f>
        <v>70000</v>
      </c>
      <c r="G38" s="74">
        <f t="shared" si="5"/>
        <v>1680000</v>
      </c>
      <c r="H38" s="7"/>
      <c r="I38" s="7"/>
    </row>
    <row r="39" spans="1:10" ht="60" x14ac:dyDescent="0.2">
      <c r="A39" s="39">
        <v>28</v>
      </c>
      <c r="B39" s="27" t="s">
        <v>47</v>
      </c>
      <c r="C39" s="14" t="s">
        <v>2</v>
      </c>
      <c r="D39" s="14">
        <v>360</v>
      </c>
      <c r="E39" s="7"/>
      <c r="F39" s="74">
        <f>3770933.988/D39</f>
        <v>10474.816633333334</v>
      </c>
      <c r="G39" s="74">
        <f t="shared" si="5"/>
        <v>3770933.9880000004</v>
      </c>
      <c r="H39" s="7"/>
      <c r="I39" s="7"/>
    </row>
    <row r="40" spans="1:10" ht="15" x14ac:dyDescent="0.2">
      <c r="A40" s="39"/>
      <c r="B40" s="22" t="s">
        <v>48</v>
      </c>
      <c r="C40" s="14"/>
      <c r="D40" s="14"/>
      <c r="E40" s="7"/>
      <c r="F40" s="74"/>
      <c r="G40" s="74"/>
      <c r="H40" s="7"/>
      <c r="I40" s="7"/>
    </row>
    <row r="41" spans="1:10" ht="36" x14ac:dyDescent="0.2">
      <c r="A41" s="39">
        <v>29</v>
      </c>
      <c r="B41" s="15" t="s">
        <v>49</v>
      </c>
      <c r="C41" s="14" t="s">
        <v>2</v>
      </c>
      <c r="D41" s="14">
        <v>30</v>
      </c>
      <c r="E41" s="7"/>
      <c r="F41" s="74">
        <f>1480000/D41</f>
        <v>49333.333333333336</v>
      </c>
      <c r="G41" s="74">
        <f>F41*D41</f>
        <v>1480000</v>
      </c>
      <c r="H41" s="7"/>
      <c r="I41" s="7"/>
    </row>
    <row r="42" spans="1:10" s="5" customFormat="1" ht="24" x14ac:dyDescent="0.2">
      <c r="A42" s="62">
        <v>30</v>
      </c>
      <c r="B42" s="15" t="s">
        <v>50</v>
      </c>
      <c r="C42" s="15" t="s">
        <v>2</v>
      </c>
      <c r="D42" s="14">
        <v>30</v>
      </c>
      <c r="E42" s="9"/>
      <c r="F42" s="74">
        <f>950000/D42</f>
        <v>31666.666666666668</v>
      </c>
      <c r="G42" s="74">
        <f>F42*D42</f>
        <v>950000</v>
      </c>
      <c r="H42" s="9"/>
      <c r="I42" s="9"/>
    </row>
    <row r="43" spans="1:10" ht="15" x14ac:dyDescent="0.25">
      <c r="A43" s="39"/>
      <c r="B43" s="42" t="s">
        <v>51</v>
      </c>
      <c r="C43" s="15"/>
      <c r="D43" s="14"/>
      <c r="E43" s="7"/>
      <c r="F43" s="74"/>
      <c r="G43" s="74"/>
      <c r="H43" s="7"/>
      <c r="I43" s="7"/>
    </row>
    <row r="44" spans="1:10" ht="36" x14ac:dyDescent="0.2">
      <c r="A44" s="39">
        <v>31</v>
      </c>
      <c r="B44" s="15" t="s">
        <v>49</v>
      </c>
      <c r="C44" s="14" t="s">
        <v>2</v>
      </c>
      <c r="D44" s="14">
        <v>30</v>
      </c>
      <c r="E44" s="7"/>
      <c r="F44" s="74">
        <f>1480000/D44</f>
        <v>49333.333333333336</v>
      </c>
      <c r="G44" s="74">
        <f>F44*D44</f>
        <v>1480000</v>
      </c>
      <c r="H44" s="7"/>
      <c r="I44" s="7"/>
    </row>
    <row r="45" spans="1:10" ht="24" x14ac:dyDescent="0.2">
      <c r="A45" s="39">
        <v>32</v>
      </c>
      <c r="B45" s="15" t="s">
        <v>50</v>
      </c>
      <c r="C45" s="15" t="s">
        <v>2</v>
      </c>
      <c r="D45" s="14">
        <v>30</v>
      </c>
      <c r="E45" s="7"/>
      <c r="F45" s="74">
        <f>950000/D45</f>
        <v>31666.666666666668</v>
      </c>
      <c r="G45" s="74">
        <f t="shared" ref="G45:G48" si="6">F45*D45</f>
        <v>950000</v>
      </c>
      <c r="H45" s="7"/>
      <c r="I45" s="7"/>
    </row>
    <row r="46" spans="1:10" x14ac:dyDescent="0.2">
      <c r="A46" s="39">
        <v>33</v>
      </c>
      <c r="B46" s="15" t="s">
        <v>52</v>
      </c>
      <c r="C46" s="14" t="s">
        <v>53</v>
      </c>
      <c r="D46" s="14">
        <v>30</v>
      </c>
      <c r="E46" s="7"/>
      <c r="F46" s="74">
        <f>9600000/D46</f>
        <v>320000</v>
      </c>
      <c r="G46" s="74">
        <f t="shared" si="6"/>
        <v>9600000</v>
      </c>
      <c r="H46" s="7"/>
      <c r="I46" s="7"/>
    </row>
    <row r="47" spans="1:10" x14ac:dyDescent="0.2">
      <c r="A47" s="39">
        <v>34</v>
      </c>
      <c r="B47" s="27" t="s">
        <v>54</v>
      </c>
      <c r="C47" s="14" t="s">
        <v>55</v>
      </c>
      <c r="D47" s="14">
        <v>30</v>
      </c>
      <c r="E47" s="7"/>
      <c r="F47" s="74">
        <f>4500000/D47</f>
        <v>150000</v>
      </c>
      <c r="G47" s="74">
        <f t="shared" si="6"/>
        <v>4500000</v>
      </c>
      <c r="H47" s="7"/>
      <c r="I47" s="7"/>
    </row>
    <row r="48" spans="1:10" x14ac:dyDescent="0.2">
      <c r="A48" s="39">
        <v>35</v>
      </c>
      <c r="B48" s="27" t="s">
        <v>56</v>
      </c>
      <c r="C48" s="14" t="s">
        <v>57</v>
      </c>
      <c r="D48" s="14">
        <v>100</v>
      </c>
      <c r="E48" s="7"/>
      <c r="F48" s="74">
        <f>1200000/D48</f>
        <v>12000</v>
      </c>
      <c r="G48" s="74">
        <f t="shared" si="6"/>
        <v>1200000</v>
      </c>
      <c r="H48" s="7"/>
      <c r="I48" s="7"/>
    </row>
    <row r="49" spans="1:10" ht="15" x14ac:dyDescent="0.2">
      <c r="A49" s="39"/>
      <c r="B49" s="22" t="s">
        <v>58</v>
      </c>
      <c r="C49" s="14"/>
      <c r="D49" s="14"/>
      <c r="E49" s="7"/>
      <c r="F49" s="74"/>
      <c r="G49" s="74"/>
      <c r="H49" s="7"/>
      <c r="I49" s="7"/>
    </row>
    <row r="50" spans="1:10" ht="36" x14ac:dyDescent="0.2">
      <c r="A50" s="39">
        <v>36</v>
      </c>
      <c r="B50" s="15" t="s">
        <v>59</v>
      </c>
      <c r="C50" s="14" t="s">
        <v>2</v>
      </c>
      <c r="D50" s="14">
        <v>1</v>
      </c>
      <c r="E50" s="7"/>
      <c r="F50" s="74">
        <v>3900000</v>
      </c>
      <c r="G50" s="74">
        <f>F50*D50</f>
        <v>3900000</v>
      </c>
      <c r="H50" s="7"/>
      <c r="I50" s="7"/>
    </row>
    <row r="51" spans="1:10" ht="24" x14ac:dyDescent="0.2">
      <c r="A51" s="39">
        <v>37</v>
      </c>
      <c r="B51" s="27" t="s">
        <v>60</v>
      </c>
      <c r="C51" s="14" t="s">
        <v>2</v>
      </c>
      <c r="D51" s="14">
        <v>9</v>
      </c>
      <c r="E51" s="7"/>
      <c r="F51" s="74">
        <f>759000/D51</f>
        <v>84333.333333333328</v>
      </c>
      <c r="G51" s="74">
        <f>F51*D51</f>
        <v>759000</v>
      </c>
      <c r="H51" s="7"/>
      <c r="I51" s="7"/>
    </row>
    <row r="52" spans="1:10" s="5" customFormat="1" ht="72" x14ac:dyDescent="0.2">
      <c r="A52" s="62">
        <v>38</v>
      </c>
      <c r="B52" s="27" t="s">
        <v>61</v>
      </c>
      <c r="C52" s="14" t="s">
        <v>62</v>
      </c>
      <c r="D52" s="14">
        <v>43</v>
      </c>
      <c r="E52" s="9"/>
      <c r="F52" s="74">
        <f>3053000/D52</f>
        <v>71000</v>
      </c>
      <c r="G52" s="74">
        <f t="shared" ref="G52:G57" si="7">F52*D52</f>
        <v>3053000</v>
      </c>
      <c r="H52" s="9"/>
      <c r="I52" s="9"/>
    </row>
    <row r="53" spans="1:10" x14ac:dyDescent="0.2">
      <c r="A53" s="39">
        <v>39</v>
      </c>
      <c r="B53" s="27" t="s">
        <v>63</v>
      </c>
      <c r="C53" s="14" t="s">
        <v>2</v>
      </c>
      <c r="D53" s="14">
        <v>2</v>
      </c>
      <c r="E53" s="7"/>
      <c r="F53" s="74">
        <f>212000/D53</f>
        <v>106000</v>
      </c>
      <c r="G53" s="74">
        <f t="shared" si="7"/>
        <v>212000</v>
      </c>
      <c r="H53" s="7"/>
      <c r="I53" s="7"/>
    </row>
    <row r="54" spans="1:10" ht="24" x14ac:dyDescent="0.2">
      <c r="A54" s="39">
        <v>40</v>
      </c>
      <c r="B54" s="27" t="s">
        <v>64</v>
      </c>
      <c r="C54" s="14" t="s">
        <v>2</v>
      </c>
      <c r="D54" s="14">
        <v>1</v>
      </c>
      <c r="E54" s="7"/>
      <c r="F54" s="74">
        <f>205000/D54</f>
        <v>205000</v>
      </c>
      <c r="G54" s="74">
        <f t="shared" si="7"/>
        <v>205000</v>
      </c>
      <c r="H54" s="7"/>
      <c r="I54" s="7"/>
    </row>
    <row r="55" spans="1:10" x14ac:dyDescent="0.2">
      <c r="A55" s="39">
        <v>41</v>
      </c>
      <c r="B55" s="27" t="s">
        <v>65</v>
      </c>
      <c r="C55" s="14" t="s">
        <v>2</v>
      </c>
      <c r="D55" s="14">
        <v>21</v>
      </c>
      <c r="E55" s="7"/>
      <c r="F55" s="74">
        <f>241500/D55</f>
        <v>11500</v>
      </c>
      <c r="G55" s="74">
        <f t="shared" si="7"/>
        <v>241500</v>
      </c>
      <c r="H55" s="7"/>
      <c r="I55" s="7"/>
    </row>
    <row r="56" spans="1:10" ht="17.25" customHeight="1" x14ac:dyDescent="0.2">
      <c r="A56" s="39">
        <v>42</v>
      </c>
      <c r="B56" s="27" t="s">
        <v>66</v>
      </c>
      <c r="C56" s="14" t="s">
        <v>2</v>
      </c>
      <c r="D56" s="14">
        <v>1</v>
      </c>
      <c r="E56" s="7"/>
      <c r="F56" s="74">
        <f>1500000/D56</f>
        <v>1500000</v>
      </c>
      <c r="G56" s="74">
        <f t="shared" si="7"/>
        <v>1500000</v>
      </c>
      <c r="H56" s="7"/>
      <c r="I56" s="7"/>
    </row>
    <row r="57" spans="1:10" x14ac:dyDescent="0.2">
      <c r="A57" s="39">
        <v>43</v>
      </c>
      <c r="B57" s="27" t="s">
        <v>67</v>
      </c>
      <c r="C57" s="14" t="s">
        <v>3</v>
      </c>
      <c r="D57" s="14">
        <v>10</v>
      </c>
      <c r="E57" s="7"/>
      <c r="F57" s="74">
        <f>650000/D57</f>
        <v>65000</v>
      </c>
      <c r="G57" s="74">
        <f t="shared" si="7"/>
        <v>650000</v>
      </c>
      <c r="H57" s="7"/>
      <c r="I57" s="7"/>
    </row>
    <row r="58" spans="1:10" ht="15" customHeight="1" x14ac:dyDescent="0.2">
      <c r="A58" s="39"/>
      <c r="B58" s="66" t="s">
        <v>68</v>
      </c>
      <c r="C58" s="67"/>
      <c r="D58" s="67"/>
      <c r="E58" s="67"/>
      <c r="F58" s="68"/>
      <c r="G58" s="58"/>
      <c r="H58" s="58"/>
      <c r="I58" s="58"/>
      <c r="J58" s="37"/>
    </row>
    <row r="59" spans="1:10" ht="36" x14ac:dyDescent="0.2">
      <c r="A59" s="39">
        <v>44</v>
      </c>
      <c r="B59" s="27" t="s">
        <v>69</v>
      </c>
      <c r="C59" s="14" t="s">
        <v>2</v>
      </c>
      <c r="D59" s="14">
        <v>90</v>
      </c>
      <c r="E59" s="7"/>
      <c r="F59" s="74">
        <f>4896000/D59</f>
        <v>54400</v>
      </c>
      <c r="G59" s="74">
        <f>F59*D59</f>
        <v>4896000</v>
      </c>
      <c r="H59" s="7"/>
      <c r="I59" s="7"/>
    </row>
    <row r="60" spans="1:10" x14ac:dyDescent="0.2">
      <c r="A60" s="39">
        <v>45</v>
      </c>
      <c r="B60" s="27" t="s">
        <v>70</v>
      </c>
      <c r="C60" s="14" t="s">
        <v>2</v>
      </c>
      <c r="D60" s="14">
        <v>90</v>
      </c>
      <c r="E60" s="7"/>
      <c r="F60" s="74">
        <f>252000/D60</f>
        <v>2800</v>
      </c>
      <c r="G60" s="74">
        <f>F60*D60</f>
        <v>252000</v>
      </c>
      <c r="H60" s="7"/>
      <c r="I60" s="7"/>
    </row>
    <row r="61" spans="1:10" x14ac:dyDescent="0.2">
      <c r="A61" s="39"/>
      <c r="B61" s="28" t="s">
        <v>71</v>
      </c>
      <c r="C61" s="14"/>
      <c r="D61" s="14"/>
      <c r="E61" s="7"/>
      <c r="F61" s="74"/>
      <c r="G61" s="74"/>
      <c r="H61" s="7"/>
      <c r="I61" s="7"/>
    </row>
    <row r="62" spans="1:10" ht="24" x14ac:dyDescent="0.2">
      <c r="A62" s="39">
        <v>46</v>
      </c>
      <c r="B62" s="27" t="s">
        <v>31</v>
      </c>
      <c r="C62" s="14" t="s">
        <v>3</v>
      </c>
      <c r="D62" s="14">
        <v>30</v>
      </c>
      <c r="E62" s="7"/>
      <c r="F62" s="74">
        <f>2100000/D62</f>
        <v>70000</v>
      </c>
      <c r="G62" s="74">
        <f>F62*D62</f>
        <v>2100000</v>
      </c>
      <c r="H62" s="7"/>
      <c r="I62" s="7"/>
    </row>
    <row r="63" spans="1:10" s="5" customFormat="1" ht="60" x14ac:dyDescent="0.2">
      <c r="A63" s="62">
        <v>47</v>
      </c>
      <c r="B63" s="27" t="s">
        <v>32</v>
      </c>
      <c r="C63" s="14" t="s">
        <v>4</v>
      </c>
      <c r="D63" s="14">
        <v>450</v>
      </c>
      <c r="E63" s="9"/>
      <c r="F63" s="74">
        <f>4713667.485/D63</f>
        <v>10474.816633333334</v>
      </c>
      <c r="G63" s="74">
        <f t="shared" ref="G63:G73" si="8">F63*D63</f>
        <v>4713667.4850000003</v>
      </c>
      <c r="H63" s="9"/>
      <c r="I63" s="9"/>
    </row>
    <row r="64" spans="1:10" x14ac:dyDescent="0.2">
      <c r="A64" s="39">
        <v>48</v>
      </c>
      <c r="B64" s="27" t="s">
        <v>72</v>
      </c>
      <c r="C64" s="14" t="s">
        <v>73</v>
      </c>
      <c r="D64" s="14">
        <v>2</v>
      </c>
      <c r="E64" s="7"/>
      <c r="F64" s="74">
        <f>10600000/D64</f>
        <v>5300000</v>
      </c>
      <c r="G64" s="74">
        <f t="shared" si="8"/>
        <v>10600000</v>
      </c>
      <c r="H64" s="7"/>
      <c r="I64" s="7"/>
    </row>
    <row r="65" spans="1:9" x14ac:dyDescent="0.2">
      <c r="A65" s="39">
        <v>49</v>
      </c>
      <c r="B65" s="27" t="s">
        <v>74</v>
      </c>
      <c r="C65" s="14" t="s">
        <v>75</v>
      </c>
      <c r="D65" s="14">
        <v>2</v>
      </c>
      <c r="E65" s="7"/>
      <c r="F65" s="74">
        <f>4400000/D65</f>
        <v>2200000</v>
      </c>
      <c r="G65" s="74">
        <f t="shared" si="8"/>
        <v>4400000</v>
      </c>
      <c r="H65" s="7"/>
      <c r="I65" s="7"/>
    </row>
    <row r="66" spans="1:9" ht="36" x14ac:dyDescent="0.2">
      <c r="A66" s="39">
        <v>50</v>
      </c>
      <c r="B66" s="27" t="s">
        <v>76</v>
      </c>
      <c r="C66" s="14" t="s">
        <v>6</v>
      </c>
      <c r="D66" s="14">
        <v>30</v>
      </c>
      <c r="E66" s="7"/>
      <c r="F66" s="74">
        <f>3600000/D66</f>
        <v>120000</v>
      </c>
      <c r="G66" s="74">
        <f t="shared" si="8"/>
        <v>3600000</v>
      </c>
      <c r="H66" s="7"/>
      <c r="I66" s="7"/>
    </row>
    <row r="67" spans="1:9" x14ac:dyDescent="0.2">
      <c r="A67" s="39"/>
      <c r="B67" s="29" t="s">
        <v>77</v>
      </c>
      <c r="C67" s="23"/>
      <c r="D67" s="24"/>
      <c r="E67" s="7"/>
      <c r="F67" s="74"/>
      <c r="G67" s="74"/>
      <c r="H67" s="7"/>
      <c r="I67" s="7"/>
    </row>
    <row r="68" spans="1:9" ht="24" x14ac:dyDescent="0.2">
      <c r="A68" s="39">
        <v>51</v>
      </c>
      <c r="B68" s="25" t="s">
        <v>31</v>
      </c>
      <c r="C68" s="23" t="s">
        <v>3</v>
      </c>
      <c r="D68" s="26">
        <v>30</v>
      </c>
      <c r="E68" s="7"/>
      <c r="F68" s="74">
        <f>2100000/D68</f>
        <v>70000</v>
      </c>
      <c r="G68" s="74">
        <f t="shared" si="8"/>
        <v>2100000</v>
      </c>
      <c r="H68" s="7"/>
      <c r="I68" s="7"/>
    </row>
    <row r="69" spans="1:9" ht="60" x14ac:dyDescent="0.2">
      <c r="A69" s="39">
        <v>52</v>
      </c>
      <c r="B69" s="25" t="s">
        <v>32</v>
      </c>
      <c r="C69" s="23" t="s">
        <v>4</v>
      </c>
      <c r="D69" s="26">
        <v>450</v>
      </c>
      <c r="E69" s="7"/>
      <c r="F69" s="74">
        <f>4713667.485/D69</f>
        <v>10474.816633333334</v>
      </c>
      <c r="G69" s="74">
        <f t="shared" si="8"/>
        <v>4713667.4850000003</v>
      </c>
      <c r="H69" s="7"/>
      <c r="I69" s="7"/>
    </row>
    <row r="70" spans="1:9" ht="24" x14ac:dyDescent="0.25">
      <c r="A70" s="39">
        <v>53</v>
      </c>
      <c r="B70" s="25" t="s">
        <v>78</v>
      </c>
      <c r="C70" s="23" t="s">
        <v>3</v>
      </c>
      <c r="D70" s="26">
        <v>2</v>
      </c>
      <c r="E70" s="11"/>
      <c r="F70" s="74">
        <f>20000000/D70</f>
        <v>10000000</v>
      </c>
      <c r="G70" s="74">
        <f t="shared" si="8"/>
        <v>20000000</v>
      </c>
      <c r="H70" s="7"/>
      <c r="I70" s="7"/>
    </row>
    <row r="71" spans="1:9" x14ac:dyDescent="0.2">
      <c r="A71" s="1">
        <v>54</v>
      </c>
      <c r="B71" s="25" t="s">
        <v>79</v>
      </c>
      <c r="C71" s="23" t="s">
        <v>80</v>
      </c>
      <c r="D71" s="26">
        <v>200</v>
      </c>
      <c r="E71" s="7"/>
      <c r="F71" s="74">
        <f>880000/D71</f>
        <v>4400</v>
      </c>
      <c r="G71" s="74">
        <f t="shared" si="8"/>
        <v>880000</v>
      </c>
      <c r="H71" s="7"/>
      <c r="I71" s="7"/>
    </row>
    <row r="72" spans="1:9" x14ac:dyDescent="0.2">
      <c r="A72" s="1">
        <v>55</v>
      </c>
      <c r="B72" s="25" t="s">
        <v>74</v>
      </c>
      <c r="C72" s="23" t="s">
        <v>2</v>
      </c>
      <c r="D72" s="26">
        <v>2</v>
      </c>
      <c r="E72" s="7"/>
      <c r="F72" s="74">
        <f>2000000/D72</f>
        <v>1000000</v>
      </c>
      <c r="G72" s="74">
        <f t="shared" si="8"/>
        <v>2000000</v>
      </c>
      <c r="H72" s="7"/>
      <c r="I72" s="7"/>
    </row>
    <row r="73" spans="1:9" ht="60" x14ac:dyDescent="0.2">
      <c r="A73" s="1">
        <v>56</v>
      </c>
      <c r="B73" s="25" t="s">
        <v>81</v>
      </c>
      <c r="C73" s="23" t="s">
        <v>6</v>
      </c>
      <c r="D73" s="26">
        <v>30</v>
      </c>
      <c r="E73" s="7"/>
      <c r="F73" s="74">
        <f>3600000/D73</f>
        <v>120000</v>
      </c>
      <c r="G73" s="74">
        <f t="shared" si="8"/>
        <v>3600000</v>
      </c>
      <c r="H73" s="7"/>
      <c r="I73" s="7"/>
    </row>
    <row r="74" spans="1:9" x14ac:dyDescent="0.2">
      <c r="B74" s="29" t="s">
        <v>82</v>
      </c>
      <c r="C74" s="23"/>
      <c r="D74" s="26"/>
      <c r="E74" s="7"/>
      <c r="F74" s="74"/>
      <c r="G74" s="74"/>
      <c r="H74" s="7"/>
      <c r="I74" s="7"/>
    </row>
    <row r="75" spans="1:9" ht="60" x14ac:dyDescent="0.2">
      <c r="A75" s="1">
        <v>57</v>
      </c>
      <c r="B75" s="25" t="s">
        <v>83</v>
      </c>
      <c r="C75" s="23" t="s">
        <v>5</v>
      </c>
      <c r="D75" s="26">
        <v>1</v>
      </c>
      <c r="E75" s="7"/>
      <c r="F75" s="74">
        <f>1950000/D75</f>
        <v>1950000</v>
      </c>
      <c r="G75" s="74">
        <f>F75*D75</f>
        <v>1950000</v>
      </c>
      <c r="H75" s="7"/>
      <c r="I75" s="7"/>
    </row>
    <row r="76" spans="1:9" x14ac:dyDescent="0.2">
      <c r="A76" s="1">
        <v>58</v>
      </c>
      <c r="B76" s="25" t="s">
        <v>84</v>
      </c>
      <c r="C76" s="23" t="s">
        <v>2</v>
      </c>
      <c r="D76" s="26">
        <v>1</v>
      </c>
      <c r="E76" s="7"/>
      <c r="F76" s="74">
        <f>273333.333333333/D76</f>
        <v>273333.33333333302</v>
      </c>
      <c r="G76" s="74">
        <f t="shared" ref="G76:G82" si="9">F76*D76</f>
        <v>273333.33333333302</v>
      </c>
      <c r="H76" s="7"/>
      <c r="I76" s="7"/>
    </row>
    <row r="77" spans="1:9" ht="36" x14ac:dyDescent="0.2">
      <c r="A77" s="1">
        <v>59</v>
      </c>
      <c r="B77" s="25" t="s">
        <v>85</v>
      </c>
      <c r="C77" s="23" t="s">
        <v>86</v>
      </c>
      <c r="D77" s="26">
        <v>1</v>
      </c>
      <c r="E77" s="7"/>
      <c r="F77" s="74">
        <f>1186666.66666667/D77</f>
        <v>1186666.66666667</v>
      </c>
      <c r="G77" s="74">
        <f t="shared" si="9"/>
        <v>1186666.66666667</v>
      </c>
      <c r="H77" s="7"/>
      <c r="I77" s="7"/>
    </row>
    <row r="78" spans="1:9" ht="60" x14ac:dyDescent="0.2">
      <c r="A78" s="1">
        <v>60</v>
      </c>
      <c r="B78" s="25" t="s">
        <v>87</v>
      </c>
      <c r="C78" s="23" t="s">
        <v>2</v>
      </c>
      <c r="D78" s="26">
        <v>90</v>
      </c>
      <c r="E78" s="7"/>
      <c r="F78" s="74">
        <f>942733.497/D78</f>
        <v>10474.816633333334</v>
      </c>
      <c r="G78" s="74">
        <f t="shared" si="9"/>
        <v>942733.49700000009</v>
      </c>
      <c r="H78" s="7"/>
      <c r="I78" s="7"/>
    </row>
    <row r="79" spans="1:9" ht="24" x14ac:dyDescent="0.2">
      <c r="A79" s="1">
        <v>61</v>
      </c>
      <c r="B79" s="25" t="s">
        <v>88</v>
      </c>
      <c r="C79" s="23" t="s">
        <v>89</v>
      </c>
      <c r="D79" s="26">
        <v>1</v>
      </c>
      <c r="E79" s="7"/>
      <c r="F79" s="74">
        <f>1020000/D79</f>
        <v>1020000</v>
      </c>
      <c r="G79" s="74">
        <f t="shared" si="9"/>
        <v>1020000</v>
      </c>
      <c r="H79" s="7"/>
      <c r="I79" s="7"/>
    </row>
    <row r="80" spans="1:9" ht="36" x14ac:dyDescent="0.2">
      <c r="A80" s="1">
        <v>62</v>
      </c>
      <c r="B80" s="25" t="s">
        <v>90</v>
      </c>
      <c r="C80" s="23" t="s">
        <v>2</v>
      </c>
      <c r="D80" s="26">
        <v>90</v>
      </c>
      <c r="E80" s="7"/>
      <c r="F80" s="74">
        <f>940000/D80</f>
        <v>10444.444444444445</v>
      </c>
      <c r="G80" s="74">
        <f t="shared" si="9"/>
        <v>940000.00000000012</v>
      </c>
      <c r="H80" s="7"/>
      <c r="I80" s="7"/>
    </row>
    <row r="81" spans="1:10" ht="24" x14ac:dyDescent="0.2">
      <c r="A81" s="1">
        <v>63</v>
      </c>
      <c r="B81" s="25" t="s">
        <v>50</v>
      </c>
      <c r="C81" s="23" t="s">
        <v>2</v>
      </c>
      <c r="D81" s="26">
        <v>90</v>
      </c>
      <c r="E81" s="7"/>
      <c r="F81" s="74">
        <f>970000/D81</f>
        <v>10777.777777777777</v>
      </c>
      <c r="G81" s="74">
        <f t="shared" si="9"/>
        <v>970000</v>
      </c>
      <c r="H81" s="7"/>
      <c r="I81" s="7"/>
    </row>
    <row r="82" spans="1:10" ht="24" x14ac:dyDescent="0.2">
      <c r="A82" s="1">
        <v>64</v>
      </c>
      <c r="B82" s="27" t="s">
        <v>91</v>
      </c>
      <c r="C82" s="14" t="s">
        <v>92</v>
      </c>
      <c r="D82" s="14">
        <v>90</v>
      </c>
      <c r="E82" s="7"/>
      <c r="F82" s="74">
        <f>1120000/D82</f>
        <v>12444.444444444445</v>
      </c>
      <c r="G82" s="74">
        <f t="shared" si="9"/>
        <v>1120000</v>
      </c>
      <c r="H82" s="7"/>
      <c r="I82" s="7"/>
    </row>
    <row r="83" spans="1:10" ht="15" customHeight="1" x14ac:dyDescent="0.25">
      <c r="B83" s="45" t="s">
        <v>93</v>
      </c>
      <c r="C83" s="46"/>
      <c r="D83" s="46"/>
      <c r="E83" s="46"/>
      <c r="F83" s="47"/>
      <c r="G83" s="44"/>
      <c r="H83" s="44"/>
      <c r="I83" s="44"/>
      <c r="J83" s="38"/>
    </row>
    <row r="84" spans="1:10" ht="60" x14ac:dyDescent="0.2">
      <c r="A84" s="1">
        <v>65</v>
      </c>
      <c r="B84" s="32" t="s">
        <v>32</v>
      </c>
      <c r="C84" s="14" t="s">
        <v>2</v>
      </c>
      <c r="D84" s="14">
        <v>100</v>
      </c>
      <c r="E84" s="7"/>
      <c r="F84" s="74">
        <f>1047481.66333333/D84</f>
        <v>10474.816633333299</v>
      </c>
      <c r="G84" s="74">
        <f>F84*D84</f>
        <v>1047481.66333333</v>
      </c>
      <c r="H84" s="7"/>
      <c r="I84" s="7"/>
    </row>
    <row r="85" spans="1:10" ht="24" x14ac:dyDescent="0.2">
      <c r="A85" s="1">
        <v>66</v>
      </c>
      <c r="B85" s="32" t="s">
        <v>94</v>
      </c>
      <c r="C85" s="23" t="s">
        <v>2</v>
      </c>
      <c r="D85" s="23">
        <v>50</v>
      </c>
      <c r="E85" s="7"/>
      <c r="F85" s="74">
        <f>1335000/D85</f>
        <v>26700</v>
      </c>
      <c r="G85" s="74">
        <f t="shared" ref="G85:G91" si="10">F85*D85</f>
        <v>1335000</v>
      </c>
      <c r="H85" s="7"/>
      <c r="I85" s="7"/>
    </row>
    <row r="86" spans="1:10" ht="36" x14ac:dyDescent="0.2">
      <c r="A86" s="1">
        <v>67</v>
      </c>
      <c r="B86" s="32" t="s">
        <v>7</v>
      </c>
      <c r="C86" s="23" t="s">
        <v>3</v>
      </c>
      <c r="D86" s="23">
        <v>12</v>
      </c>
      <c r="E86" s="7"/>
      <c r="F86" s="74">
        <f>1920000/D86</f>
        <v>160000</v>
      </c>
      <c r="G86" s="74">
        <f t="shared" si="10"/>
        <v>1920000</v>
      </c>
      <c r="H86" s="7"/>
      <c r="I86" s="7"/>
    </row>
    <row r="87" spans="1:10" x14ac:dyDescent="0.2">
      <c r="A87" s="1">
        <v>68</v>
      </c>
      <c r="B87" s="33" t="s">
        <v>37</v>
      </c>
      <c r="C87" s="14" t="s">
        <v>2</v>
      </c>
      <c r="D87" s="34">
        <v>4</v>
      </c>
      <c r="E87" s="7"/>
      <c r="F87" s="74">
        <f>3568060/D87</f>
        <v>892015</v>
      </c>
      <c r="G87" s="74">
        <f t="shared" si="10"/>
        <v>3568060</v>
      </c>
      <c r="H87" s="7"/>
      <c r="I87" s="7"/>
    </row>
    <row r="88" spans="1:10" x14ac:dyDescent="0.2">
      <c r="A88" s="1">
        <v>69</v>
      </c>
      <c r="B88" s="33" t="s">
        <v>38</v>
      </c>
      <c r="C88" s="14" t="s">
        <v>2</v>
      </c>
      <c r="D88" s="34">
        <v>1</v>
      </c>
      <c r="E88" s="7"/>
      <c r="F88" s="74">
        <v>8928993.8566666674</v>
      </c>
      <c r="G88" s="74">
        <f t="shared" si="10"/>
        <v>8928993.8566666674</v>
      </c>
      <c r="H88" s="7"/>
      <c r="I88" s="7"/>
    </row>
    <row r="89" spans="1:10" x14ac:dyDescent="0.2">
      <c r="A89" s="1">
        <v>70</v>
      </c>
      <c r="B89" s="33" t="s">
        <v>39</v>
      </c>
      <c r="C89" s="14" t="s">
        <v>2</v>
      </c>
      <c r="D89" s="34">
        <v>1</v>
      </c>
      <c r="E89" s="7"/>
      <c r="F89" s="74">
        <v>1041000</v>
      </c>
      <c r="G89" s="74">
        <f t="shared" si="10"/>
        <v>1041000</v>
      </c>
      <c r="H89" s="7"/>
      <c r="I89" s="7"/>
    </row>
    <row r="90" spans="1:10" x14ac:dyDescent="0.2">
      <c r="A90" s="1">
        <v>71</v>
      </c>
      <c r="B90" s="33" t="s">
        <v>40</v>
      </c>
      <c r="C90" s="14" t="s">
        <v>2</v>
      </c>
      <c r="D90" s="34">
        <v>1</v>
      </c>
      <c r="E90" s="7"/>
      <c r="F90" s="74">
        <v>2953093.3333333335</v>
      </c>
      <c r="G90" s="74">
        <f t="shared" si="10"/>
        <v>2953093.3333333335</v>
      </c>
      <c r="H90" s="7"/>
      <c r="I90" s="7"/>
    </row>
    <row r="91" spans="1:10" x14ac:dyDescent="0.2">
      <c r="A91" s="1">
        <v>72</v>
      </c>
      <c r="B91" s="33" t="s">
        <v>41</v>
      </c>
      <c r="C91" s="14" t="s">
        <v>2</v>
      </c>
      <c r="D91" s="34">
        <v>1</v>
      </c>
      <c r="E91" s="7"/>
      <c r="F91" s="74">
        <v>4297019</v>
      </c>
      <c r="G91" s="74">
        <f t="shared" si="10"/>
        <v>4297019</v>
      </c>
      <c r="H91" s="7"/>
      <c r="I91" s="7"/>
    </row>
    <row r="92" spans="1:10" ht="15.75" x14ac:dyDescent="0.2">
      <c r="B92" s="70" t="s">
        <v>95</v>
      </c>
      <c r="C92" s="71"/>
      <c r="D92" s="71"/>
      <c r="E92" s="71"/>
      <c r="F92" s="72"/>
      <c r="G92" s="69"/>
      <c r="H92" s="69"/>
      <c r="I92" s="69"/>
      <c r="J92" s="48"/>
    </row>
    <row r="93" spans="1:10" x14ac:dyDescent="0.2">
      <c r="B93" s="35" t="s">
        <v>96</v>
      </c>
      <c r="C93" s="7"/>
      <c r="D93" s="7"/>
      <c r="E93" s="7"/>
      <c r="F93" s="8"/>
      <c r="G93" s="8"/>
      <c r="H93" s="7"/>
      <c r="I93" s="7"/>
    </row>
    <row r="94" spans="1:10" ht="60" x14ac:dyDescent="0.2">
      <c r="A94" s="1">
        <v>73</v>
      </c>
      <c r="B94" s="32" t="s">
        <v>27</v>
      </c>
      <c r="C94" s="63" t="s">
        <v>2</v>
      </c>
      <c r="D94" s="64">
        <v>100</v>
      </c>
      <c r="E94" s="7"/>
      <c r="F94" s="74">
        <f>1047481.66333333/D94</f>
        <v>10474.816633333299</v>
      </c>
      <c r="G94" s="74">
        <f>F94*D94</f>
        <v>1047481.66333333</v>
      </c>
      <c r="H94" s="7"/>
      <c r="I94" s="7"/>
    </row>
    <row r="95" spans="1:10" ht="24" x14ac:dyDescent="0.2">
      <c r="A95" s="1">
        <v>74</v>
      </c>
      <c r="B95" s="32" t="s">
        <v>94</v>
      </c>
      <c r="C95" s="65" t="s">
        <v>2</v>
      </c>
      <c r="D95" s="65">
        <v>50</v>
      </c>
      <c r="E95" s="7"/>
      <c r="F95" s="74">
        <f>2403000/D95</f>
        <v>48060</v>
      </c>
      <c r="G95" s="74">
        <f t="shared" ref="G95:G96" si="11">F95*D95</f>
        <v>2403000</v>
      </c>
      <c r="H95" s="7"/>
      <c r="I95" s="7"/>
    </row>
    <row r="96" spans="1:10" ht="36" x14ac:dyDescent="0.25">
      <c r="A96" s="1">
        <v>75</v>
      </c>
      <c r="B96" s="32" t="s">
        <v>7</v>
      </c>
      <c r="C96" s="30" t="s">
        <v>3</v>
      </c>
      <c r="D96" s="30">
        <v>12</v>
      </c>
      <c r="E96" s="7"/>
      <c r="F96" s="74">
        <f>1920000/D96</f>
        <v>160000</v>
      </c>
      <c r="G96" s="74">
        <f t="shared" si="11"/>
        <v>1920000</v>
      </c>
      <c r="H96" s="7"/>
      <c r="I96" s="7"/>
    </row>
    <row r="97" spans="1:9" x14ac:dyDescent="0.2">
      <c r="B97" s="35" t="s">
        <v>34</v>
      </c>
      <c r="C97" s="7"/>
      <c r="D97" s="7"/>
      <c r="E97" s="7"/>
      <c r="F97" s="74"/>
      <c r="G97" s="74"/>
      <c r="H97" s="7"/>
      <c r="I97" s="7"/>
    </row>
    <row r="98" spans="1:9" ht="15" x14ac:dyDescent="0.25">
      <c r="A98" s="1">
        <v>76</v>
      </c>
      <c r="B98" s="36" t="s">
        <v>97</v>
      </c>
      <c r="C98" s="30" t="s">
        <v>2</v>
      </c>
      <c r="D98" s="30">
        <v>1</v>
      </c>
      <c r="E98" s="7"/>
      <c r="F98" s="74">
        <f>2555993.86/D98</f>
        <v>2555993.86</v>
      </c>
      <c r="G98" s="74">
        <f>F98*D98</f>
        <v>2555993.86</v>
      </c>
      <c r="H98" s="7"/>
      <c r="I98" s="7"/>
    </row>
    <row r="99" spans="1:9" ht="24" x14ac:dyDescent="0.25">
      <c r="A99" s="1">
        <v>77</v>
      </c>
      <c r="B99" s="36" t="s">
        <v>98</v>
      </c>
      <c r="C99" s="30" t="s">
        <v>2</v>
      </c>
      <c r="D99" s="30">
        <v>1</v>
      </c>
      <c r="E99" s="7"/>
      <c r="F99" s="74">
        <v>1712944.7066666668</v>
      </c>
      <c r="G99" s="74">
        <f t="shared" ref="G99:G101" si="12">F99*D99</f>
        <v>1712944.7066666668</v>
      </c>
      <c r="H99" s="7"/>
      <c r="I99" s="7"/>
    </row>
    <row r="100" spans="1:9" ht="60" x14ac:dyDescent="0.25">
      <c r="A100" s="1">
        <v>78</v>
      </c>
      <c r="B100" s="36" t="s">
        <v>99</v>
      </c>
      <c r="C100" s="30" t="s">
        <v>2</v>
      </c>
      <c r="D100" s="30">
        <v>1</v>
      </c>
      <c r="E100" s="7"/>
      <c r="F100" s="74">
        <v>91808.5</v>
      </c>
      <c r="G100" s="74">
        <f t="shared" si="12"/>
        <v>91808.5</v>
      </c>
      <c r="H100" s="7"/>
      <c r="I100" s="7"/>
    </row>
    <row r="101" spans="1:9" ht="24" x14ac:dyDescent="0.25">
      <c r="A101" s="1">
        <v>79</v>
      </c>
      <c r="B101" s="36" t="s">
        <v>100</v>
      </c>
      <c r="C101" s="30" t="s">
        <v>2</v>
      </c>
      <c r="D101" s="30">
        <v>1</v>
      </c>
      <c r="E101" s="7"/>
      <c r="F101" s="74">
        <v>161306.49919999999</v>
      </c>
      <c r="G101" s="74">
        <f t="shared" si="12"/>
        <v>161306.49919999999</v>
      </c>
      <c r="H101" s="7"/>
      <c r="I101" s="7"/>
    </row>
    <row r="102" spans="1:9" ht="15" x14ac:dyDescent="0.25">
      <c r="B102" s="43" t="s">
        <v>101</v>
      </c>
      <c r="C102" s="43"/>
      <c r="D102" s="43"/>
      <c r="E102" s="43"/>
      <c r="F102" s="43"/>
      <c r="G102" s="12">
        <f>SUM(G36:G101)</f>
        <v>150452685.53753331</v>
      </c>
      <c r="H102" s="7"/>
      <c r="I102" s="7"/>
    </row>
    <row r="103" spans="1:9" ht="18.75" x14ac:dyDescent="0.3">
      <c r="B103" s="41" t="s">
        <v>8</v>
      </c>
      <c r="C103" s="41"/>
      <c r="D103" s="41"/>
      <c r="E103" s="41"/>
      <c r="F103" s="41"/>
      <c r="G103" s="73">
        <f>G12+G18+G34+G102</f>
        <v>595272183.83420002</v>
      </c>
    </row>
  </sheetData>
  <mergeCells count="10">
    <mergeCell ref="B103:F103"/>
    <mergeCell ref="B58:F58"/>
    <mergeCell ref="B35:F35"/>
    <mergeCell ref="B83:F83"/>
    <mergeCell ref="B92:F92"/>
    <mergeCell ref="B102:F102"/>
    <mergeCell ref="F2:G2"/>
    <mergeCell ref="B18:D18"/>
    <mergeCell ref="B12:D12"/>
    <mergeCell ref="B34:D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</dc:creator>
  <cp:lastModifiedBy>Cesar</cp:lastModifiedBy>
  <dcterms:created xsi:type="dcterms:W3CDTF">2023-10-28T00:32:59Z</dcterms:created>
  <dcterms:modified xsi:type="dcterms:W3CDTF">2023-12-01T21:17:06Z</dcterms:modified>
</cp:coreProperties>
</file>