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lly.lopez\Desktop\PAGOS MES DE NOVIEMBRE\SUBIR 3\"/>
    </mc:Choice>
  </mc:AlternateContent>
  <xr:revisionPtr revIDLastSave="0" documentId="13_ncr:1_{9E4D7096-9744-4320-97BE-F7FAD4DF0167}" xr6:coauthVersionLast="47" xr6:coauthVersionMax="47" xr10:uidLastSave="{00000000-0000-0000-0000-000000000000}"/>
  <bookViews>
    <workbookView xWindow="0" yWindow="0" windowWidth="28635" windowHeight="12540" tabRatio="802" xr2:uid="{00000000-000D-0000-FFFF-FFFF00000000}"/>
  </bookViews>
  <sheets>
    <sheet name="NUEVO LEY 2010  2020" sheetId="22" r:id="rId1"/>
  </sheets>
  <definedNames>
    <definedName name="_xlnm.Print_Area" localSheetId="0">'NUEVO LEY 2010  2020'!$A$1:$G$49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5" i="22" l="1"/>
  <c r="AH16" i="22"/>
  <c r="AH17" i="22"/>
  <c r="AH18" i="22"/>
  <c r="AH19" i="22"/>
  <c r="AH20" i="22"/>
  <c r="AH21" i="22"/>
  <c r="AC14" i="22"/>
  <c r="AB15" i="22"/>
  <c r="AB16" i="22" s="1"/>
  <c r="AA15" i="22"/>
  <c r="AA16" i="22" s="1"/>
  <c r="Z15" i="22"/>
  <c r="Z16" i="22" s="1"/>
  <c r="E19" i="22" l="1"/>
  <c r="Y15" i="22"/>
  <c r="AG22" i="22"/>
  <c r="E17" i="22" s="1"/>
  <c r="AF22" i="22"/>
  <c r="E16" i="22" s="1"/>
  <c r="AH14" i="22"/>
  <c r="X19" i="22"/>
  <c r="E23" i="22"/>
  <c r="W23" i="22" s="1"/>
  <c r="X15" i="22"/>
  <c r="AC15" i="22" s="1"/>
  <c r="AH22" i="22" l="1"/>
  <c r="X16" i="22"/>
  <c r="E22" i="22"/>
  <c r="Y16" i="22"/>
  <c r="F23" i="22"/>
  <c r="AC16" i="22" l="1"/>
  <c r="E15" i="22"/>
  <c r="G16" i="22"/>
  <c r="G19" i="22"/>
  <c r="G17" i="22" l="1"/>
  <c r="G22" i="22" l="1"/>
  <c r="J7" i="22"/>
  <c r="M25" i="22" l="1"/>
  <c r="N25" i="22" l="1"/>
  <c r="O27" i="22" l="1"/>
  <c r="O17" i="22"/>
  <c r="O18" i="22" s="1"/>
  <c r="O23" i="22" l="1"/>
  <c r="N47" i="22" l="1"/>
  <c r="N46" i="22"/>
  <c r="P40" i="22"/>
  <c r="J8" i="22"/>
  <c r="L36" i="22"/>
  <c r="M35" i="22"/>
  <c r="L35" i="22"/>
  <c r="M34" i="22"/>
  <c r="L34" i="22"/>
  <c r="M33" i="22"/>
  <c r="L33" i="22"/>
  <c r="T17" i="22"/>
  <c r="S17" i="22"/>
  <c r="S16" i="22"/>
  <c r="L16" i="22"/>
  <c r="S15" i="22"/>
  <c r="Q13" i="22"/>
  <c r="R13" i="22" s="1"/>
  <c r="Q12" i="22"/>
  <c r="R12" i="22" s="1"/>
  <c r="R14" i="22" s="1"/>
  <c r="R17" i="22" s="1"/>
  <c r="N11" i="22"/>
  <c r="J9" i="22" l="1"/>
  <c r="N48" i="22"/>
  <c r="S18" i="22"/>
  <c r="R15" i="22"/>
  <c r="R16" i="22"/>
  <c r="T16" i="22" s="1"/>
  <c r="J10" i="22" l="1"/>
  <c r="R18" i="22"/>
  <c r="G15" i="22" l="1"/>
  <c r="K12" i="22"/>
  <c r="K13" i="22" l="1"/>
  <c r="L12" i="22"/>
  <c r="K17" i="22" l="1"/>
  <c r="K15" i="22"/>
  <c r="K14" i="22"/>
  <c r="K18" i="22" l="1"/>
  <c r="G23" i="22"/>
  <c r="D49" i="22"/>
  <c r="N39" i="22"/>
  <c r="P39" i="22" s="1"/>
  <c r="N38" i="22"/>
  <c r="P38" i="22" s="1"/>
  <c r="L24" i="22" l="1"/>
  <c r="L20" i="22"/>
  <c r="P41" i="22"/>
  <c r="K24" i="22"/>
  <c r="K25" i="22" l="1"/>
  <c r="K27" i="22" s="1"/>
  <c r="K26" i="22" l="1"/>
  <c r="K29" i="22" s="1"/>
  <c r="K31" i="22" s="1"/>
  <c r="G28" i="22" s="1"/>
  <c r="G29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Hernan Garcia Silva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10% DEL ING. BRUTO O HASTA 16 UVT 
</t>
        </r>
      </text>
    </comment>
    <comment ref="K2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MONTO TOTAL DE LAS DEDUCCIONES  NO PUEDE EXCEDER DEL 15% DE LA RENTA LIQUIDA 
</t>
        </r>
      </text>
    </comment>
  </commentList>
</comments>
</file>

<file path=xl/sharedStrings.xml><?xml version="1.0" encoding="utf-8"?>
<sst xmlns="http://schemas.openxmlformats.org/spreadsheetml/2006/main" count="149" uniqueCount="133">
  <si>
    <t>FORMATO CAUSACIÓN CONTABLE</t>
  </si>
  <si>
    <t>Código: GCO-GCI-F148
Versión: 03
Vigencia: 21 de diciembre de 2022 
Caso HOLA: 282943</t>
  </si>
  <si>
    <t>VR CDO</t>
  </si>
  <si>
    <t>FONDO DE DESARROLLO LOCAL DE TUNJUELITO</t>
  </si>
  <si>
    <t>VALOR MENSUAL</t>
  </si>
  <si>
    <t>DIAS</t>
  </si>
  <si>
    <t>VR. ANTES DE IVA</t>
  </si>
  <si>
    <t>REG. COMUN</t>
  </si>
  <si>
    <t xml:space="preserve">CONTRATO No. </t>
  </si>
  <si>
    <t>313 - 2022</t>
  </si>
  <si>
    <t xml:space="preserve">FECHA: </t>
  </si>
  <si>
    <t>IVA 19%</t>
  </si>
  <si>
    <t>HONORARIOS</t>
  </si>
  <si>
    <t>12-30 ENE</t>
  </si>
  <si>
    <t>CONTRATISTA:</t>
  </si>
  <si>
    <t>AVANCE ORGANIZACIONAL CONSULTORES SAS</t>
  </si>
  <si>
    <t>NIT. o C.C.</t>
  </si>
  <si>
    <t>800.131.690 - 6</t>
  </si>
  <si>
    <t>VALOR PAGO</t>
  </si>
  <si>
    <t>01-09 FEB</t>
  </si>
  <si>
    <t>PERIODO:</t>
  </si>
  <si>
    <t>DEL</t>
  </si>
  <si>
    <t>14 DE MAYO DE 2023</t>
  </si>
  <si>
    <t>AL</t>
  </si>
  <si>
    <t>13 DE JUNIO DE 2023</t>
  </si>
  <si>
    <t>PAGO No.</t>
  </si>
  <si>
    <t>PAGO 4</t>
  </si>
  <si>
    <t>DOCUMENTO No.</t>
  </si>
  <si>
    <t>AOC 2163-2172-AOC2190-AOC2201 y NC2032</t>
  </si>
  <si>
    <t>VALOR BRUTO</t>
  </si>
  <si>
    <t>FRA AOC 2190</t>
  </si>
  <si>
    <t>IBC</t>
  </si>
  <si>
    <t>AOC 2163</t>
  </si>
  <si>
    <t>AOC 2172</t>
  </si>
  <si>
    <t>NC 2032</t>
  </si>
  <si>
    <t>AOC 2190</t>
  </si>
  <si>
    <t>AOC 2201</t>
  </si>
  <si>
    <t>TOTAL</t>
  </si>
  <si>
    <t>CONCEPTO</t>
  </si>
  <si>
    <t>SERVICIOS</t>
  </si>
  <si>
    <t>PAGO</t>
  </si>
  <si>
    <t>CUENTA CONTABLE CGN</t>
  </si>
  <si>
    <t>CUENTA CONTABLE SDH</t>
  </si>
  <si>
    <t>BASE</t>
  </si>
  <si>
    <t>%</t>
  </si>
  <si>
    <t>VALOR</t>
  </si>
  <si>
    <t>Salud</t>
  </si>
  <si>
    <t>TARIFAS DE ARL</t>
  </si>
  <si>
    <t>COORDINADOR</t>
  </si>
  <si>
    <t>5-1-11-37</t>
  </si>
  <si>
    <t>Pensión</t>
  </si>
  <si>
    <t>RIESGO</t>
  </si>
  <si>
    <t>TARIFA</t>
  </si>
  <si>
    <t>SALUD</t>
  </si>
  <si>
    <t>AUX ADMON</t>
  </si>
  <si>
    <t>Retefuente Honorarios</t>
  </si>
  <si>
    <t>I</t>
  </si>
  <si>
    <t>PENSION</t>
  </si>
  <si>
    <t>Retefuente Servicios</t>
  </si>
  <si>
    <t>ARL</t>
  </si>
  <si>
    <t>MONTO MAXIMO A DEDUCIR 40% DE LA RENTA LIQUIDA</t>
  </si>
  <si>
    <t>II</t>
  </si>
  <si>
    <t>PROF CIENCIAS HUM</t>
  </si>
  <si>
    <t>Retefuente Arrendamientos</t>
  </si>
  <si>
    <t xml:space="preserve">RENTA LIQUIDA </t>
  </si>
  <si>
    <t>III</t>
  </si>
  <si>
    <t>PROF YOGA</t>
  </si>
  <si>
    <t>Retefuente Compras</t>
  </si>
  <si>
    <t>DEPENDIENTES 32UVT</t>
  </si>
  <si>
    <t>IV</t>
  </si>
  <si>
    <t>COMPRAS</t>
  </si>
  <si>
    <t>PROF ARTISTICO</t>
  </si>
  <si>
    <t>Retefuente - C.O.P.</t>
  </si>
  <si>
    <t>AP. VOLUNTARIO PENSION</t>
  </si>
  <si>
    <t>V</t>
  </si>
  <si>
    <t>BACHILLER</t>
  </si>
  <si>
    <t>Retefuente</t>
  </si>
  <si>
    <t>APORTE CUENTA AFC</t>
  </si>
  <si>
    <t>TECNICA LABORAL</t>
  </si>
  <si>
    <t>Reteiva</t>
  </si>
  <si>
    <t>WA</t>
  </si>
  <si>
    <t>MED PREPAGADA - SEGUROS</t>
  </si>
  <si>
    <t>Reteica</t>
  </si>
  <si>
    <t>INTERESES VIVIENDA</t>
  </si>
  <si>
    <t>Contribución Especial</t>
  </si>
  <si>
    <t>TOTAL DEDUCCIONES-RENTA LIQUIDA</t>
  </si>
  <si>
    <t>Amortización Anticipos</t>
  </si>
  <si>
    <t>Deducciones por Renta Exenta</t>
  </si>
  <si>
    <t>Otros Ajustes de Retención</t>
  </si>
  <si>
    <t>Sub total renta de trabajo excenta</t>
  </si>
  <si>
    <t>TOTAL DEDUCCIONES</t>
  </si>
  <si>
    <t>TOTAL DESCUENTOS</t>
  </si>
  <si>
    <t>NETO A PAGAR</t>
  </si>
  <si>
    <t>BASE RETEFUENTE</t>
  </si>
  <si>
    <t xml:space="preserve"> </t>
  </si>
  <si>
    <t>UVT</t>
  </si>
  <si>
    <t>Salario Mínimo</t>
  </si>
  <si>
    <t>Base en UVT</t>
  </si>
  <si>
    <t>RANGO VALORES</t>
  </si>
  <si>
    <t>DESDE</t>
  </si>
  <si>
    <t>HASTA</t>
  </si>
  <si>
    <t>FABIAN ANDRES SANCHEZ ROJAS</t>
  </si>
  <si>
    <t>RANGO UVT</t>
  </si>
  <si>
    <t>CLEMENTINA PUENTES A</t>
  </si>
  <si>
    <t>NOMBRES Y APELLIDOS</t>
  </si>
  <si>
    <t>(ILB UVT - 95 UVT) * 19%</t>
  </si>
  <si>
    <t>Contador F.D.L.Tunjuelito</t>
  </si>
  <si>
    <t xml:space="preserve">Profesional Presupuesto FDLT (E) </t>
  </si>
  <si>
    <t>(ILB UVT - 150 UVT) * 28% + 10 UVT</t>
  </si>
  <si>
    <t>∞</t>
  </si>
  <si>
    <t>(ILB UVT - 150 UVT) * 28% + 69 UVT</t>
  </si>
  <si>
    <t xml:space="preserve">Elaboró: </t>
  </si>
  <si>
    <t>Tyna Puentes</t>
  </si>
  <si>
    <t>Entidad</t>
  </si>
  <si>
    <t>Planilla anexa de pago</t>
  </si>
  <si>
    <t>Diferencia x pagar</t>
  </si>
  <si>
    <t xml:space="preserve">Aprobó: </t>
  </si>
  <si>
    <t xml:space="preserve">Pension </t>
  </si>
  <si>
    <t xml:space="preserve">OBSERVACIONES Y/O NOTAS: </t>
  </si>
  <si>
    <t xml:space="preserve">en adelante </t>
  </si>
  <si>
    <t>TOTAL DIF X PAGAR</t>
  </si>
  <si>
    <t>SERVICIOS PARA LA VINCULACION DE MUJERES CUIDADORAS  A ESTRATEGIAS DE CUIDADO, BANCO BANCOLOMBIA CUENTA CORRIENTE No. 04830444947.</t>
  </si>
  <si>
    <t>Base para pago de salud, pensión y ARL</t>
  </si>
  <si>
    <t>Planilla de pago</t>
  </si>
  <si>
    <t>Pago riesgo 3</t>
  </si>
  <si>
    <t>Pago en planillas</t>
  </si>
  <si>
    <t>Aporte obligatorio para salud - 12,5%</t>
  </si>
  <si>
    <t>febrero</t>
  </si>
  <si>
    <t>Aporte obligatorio para pensión - 16%</t>
  </si>
  <si>
    <t>marzo</t>
  </si>
  <si>
    <t>Aporte obligatorio ARL</t>
  </si>
  <si>
    <t>Total</t>
  </si>
  <si>
    <t>TOTAL APORTES SALUD Y PENSIÓN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</si>
</sst>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 * #,##0_ ;_ * \-#,##0_ ;_ * &quot;-&quot;_ ;_ @_ 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00%"/>
    <numFmt numFmtId="168" formatCode="_ * #,##0_ ;_ * \-#,##0_ ;_ * \-??_ ;_ @_ "/>
    <numFmt numFmtId="169" formatCode="_ * #,##0_ ;_ * \-#,##0_ ;_ * &quot;-&quot;??_ ;_ @_ "/>
    <numFmt numFmtId="170" formatCode="_ &quot;$&quot;\ * #,##0_ ;_ &quot;$&quot;\ * \-#,##0_ ;_ &quot;$&quot;\ * &quot;-&quot;??_ ;_ @_ "/>
    <numFmt numFmtId="171" formatCode="_(&quot;$&quot;\ * #,##0_);_(&quot;$&quot;\ * \(#,##0\);_(&quot;$&quot;\ * &quot;-&quot;??_);_(@_)"/>
    <numFmt numFmtId="172" formatCode="#,##0\ _€"/>
    <numFmt numFmtId="173" formatCode="#,##0.00\ _€"/>
    <numFmt numFmtId="174" formatCode="0.0%"/>
  </numFmts>
  <fonts count="33">
    <font>
      <sz val="10"/>
      <name val="Arial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4"/>
      <name val="Calibri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 tint="-4.9989318521683403E-2"/>
      <name val="Arial"/>
      <family val="2"/>
    </font>
    <font>
      <b/>
      <sz val="9"/>
      <color theme="1"/>
      <name val="Arial"/>
      <family val="2"/>
    </font>
    <font>
      <b/>
      <sz val="10"/>
      <color theme="0" tint="-4.9989318521683403E-2"/>
      <name val="Arial"/>
      <family val="2"/>
    </font>
    <font>
      <b/>
      <sz val="16"/>
      <color theme="1"/>
      <name val="Garamond"/>
      <family val="1"/>
    </font>
    <font>
      <sz val="10"/>
      <color theme="1"/>
      <name val="Garamond"/>
      <family val="1"/>
    </font>
    <font>
      <sz val="11"/>
      <name val="Garamond"/>
      <family val="1"/>
    </font>
    <font>
      <b/>
      <sz val="11"/>
      <name val="Garamond"/>
      <family val="1"/>
    </font>
    <font>
      <sz val="9"/>
      <name val="Arial"/>
      <family val="2"/>
    </font>
    <font>
      <b/>
      <sz val="10"/>
      <name val="Arial"/>
    </font>
    <font>
      <b/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164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ill="0" applyBorder="0" applyAlignment="0" applyProtection="0"/>
    <xf numFmtId="165" fontId="20" fillId="0" borderId="0" applyFont="0" applyFill="0" applyBorder="0" applyAlignment="0" applyProtection="0"/>
    <xf numFmtId="0" fontId="2" fillId="2" borderId="0" applyNumberFormat="0" applyBorder="0" applyAlignment="0" applyProtection="0"/>
    <xf numFmtId="0" fontId="8" fillId="0" borderId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1" applyNumberFormat="0" applyFill="0" applyAlignment="0" applyProtection="0"/>
  </cellStyleXfs>
  <cellXfs count="271">
    <xf numFmtId="0" fontId="0" fillId="0" borderId="0" xfId="0"/>
    <xf numFmtId="0" fontId="4" fillId="0" borderId="0" xfId="0" applyFont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0" fontId="10" fillId="0" borderId="0" xfId="0" applyFont="1"/>
    <xf numFmtId="170" fontId="4" fillId="0" borderId="3" xfId="4" applyNumberFormat="1" applyFont="1" applyFill="1" applyBorder="1" applyAlignment="1">
      <alignment horizontal="center" vertical="center"/>
    </xf>
    <xf numFmtId="9" fontId="4" fillId="0" borderId="3" xfId="9" applyFont="1" applyFill="1" applyBorder="1" applyAlignment="1">
      <alignment horizontal="center" vertical="center"/>
    </xf>
    <xf numFmtId="0" fontId="21" fillId="0" borderId="3" xfId="0" applyFont="1" applyBorder="1"/>
    <xf numFmtId="0" fontId="0" fillId="0" borderId="3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15" fillId="0" borderId="3" xfId="0" applyFont="1" applyBorder="1" applyAlignment="1">
      <alignment horizontal="center" wrapText="1"/>
    </xf>
    <xf numFmtId="9" fontId="21" fillId="0" borderId="3" xfId="0" applyNumberFormat="1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171" fontId="14" fillId="0" borderId="3" xfId="4" applyNumberFormat="1" applyFont="1" applyBorder="1" applyProtection="1">
      <protection locked="0"/>
    </xf>
    <xf numFmtId="168" fontId="0" fillId="0" borderId="0" xfId="0" applyNumberFormat="1"/>
    <xf numFmtId="167" fontId="21" fillId="0" borderId="3" xfId="9" applyNumberFormat="1" applyFont="1" applyBorder="1" applyAlignment="1" applyProtection="1">
      <alignment horizontal="center"/>
    </xf>
    <xf numFmtId="170" fontId="4" fillId="3" borderId="2" xfId="4" applyNumberFormat="1" applyFont="1" applyFill="1" applyBorder="1" applyAlignment="1">
      <alignment horizontal="center"/>
    </xf>
    <xf numFmtId="168" fontId="22" fillId="4" borderId="3" xfId="0" applyNumberFormat="1" applyFont="1" applyFill="1" applyBorder="1"/>
    <xf numFmtId="170" fontId="4" fillId="3" borderId="3" xfId="0" applyNumberFormat="1" applyFont="1" applyFill="1" applyBorder="1"/>
    <xf numFmtId="10" fontId="21" fillId="0" borderId="3" xfId="0" applyNumberFormat="1" applyFont="1" applyBorder="1" applyAlignment="1">
      <alignment horizontal="center" vertical="center"/>
    </xf>
    <xf numFmtId="168" fontId="21" fillId="0" borderId="3" xfId="0" applyNumberFormat="1" applyFont="1" applyBorder="1" applyAlignment="1">
      <alignment vertical="center"/>
    </xf>
    <xf numFmtId="3" fontId="12" fillId="0" borderId="0" xfId="8" applyNumberFormat="1" applyFont="1" applyAlignment="1">
      <alignment horizontal="right" wrapText="1"/>
    </xf>
    <xf numFmtId="3" fontId="13" fillId="0" borderId="0" xfId="8" applyNumberFormat="1" applyFont="1" applyAlignment="1">
      <alignment horizontal="right" vertical="center" wrapText="1"/>
    </xf>
    <xf numFmtId="0" fontId="21" fillId="5" borderId="3" xfId="0" applyFont="1" applyFill="1" applyBorder="1"/>
    <xf numFmtId="1" fontId="8" fillId="6" borderId="3" xfId="8" applyNumberFormat="1" applyFill="1" applyBorder="1" applyAlignment="1">
      <alignment horizontal="center" wrapText="1"/>
    </xf>
    <xf numFmtId="3" fontId="8" fillId="6" borderId="3" xfId="8" applyNumberFormat="1" applyFill="1" applyBorder="1" applyAlignment="1">
      <alignment horizontal="center" wrapText="1"/>
    </xf>
    <xf numFmtId="0" fontId="7" fillId="7" borderId="3" xfId="0" applyFont="1" applyFill="1" applyBorder="1" applyAlignment="1">
      <alignment horizontal="center" vertical="center"/>
    </xf>
    <xf numFmtId="9" fontId="8" fillId="7" borderId="3" xfId="8" applyNumberFormat="1" applyFill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169" fontId="0" fillId="0" borderId="0" xfId="0" applyNumberFormat="1"/>
    <xf numFmtId="0" fontId="23" fillId="0" borderId="0" xfId="0" applyFont="1"/>
    <xf numFmtId="170" fontId="0" fillId="0" borderId="0" xfId="0" applyNumberFormat="1"/>
    <xf numFmtId="3" fontId="0" fillId="0" borderId="0" xfId="0" applyNumberFormat="1"/>
    <xf numFmtId="0" fontId="7" fillId="6" borderId="3" xfId="0" applyFont="1" applyFill="1" applyBorder="1" applyAlignment="1">
      <alignment horizontal="center"/>
    </xf>
    <xf numFmtId="0" fontId="21" fillId="0" borderId="3" xfId="0" applyFont="1" applyBorder="1" applyAlignment="1">
      <alignment horizontal="center" vertical="center"/>
    </xf>
    <xf numFmtId="168" fontId="7" fillId="6" borderId="3" xfId="3" applyNumberFormat="1" applyFont="1" applyFill="1" applyBorder="1" applyAlignment="1" applyProtection="1">
      <alignment horizontal="center"/>
    </xf>
    <xf numFmtId="164" fontId="0" fillId="0" borderId="0" xfId="1" applyFont="1"/>
    <xf numFmtId="3" fontId="23" fillId="0" borderId="0" xfId="0" applyNumberFormat="1" applyFont="1"/>
    <xf numFmtId="169" fontId="0" fillId="0" borderId="0" xfId="3" applyNumberFormat="1" applyFont="1"/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169" fontId="0" fillId="0" borderId="3" xfId="3" applyNumberFormat="1" applyFont="1" applyFill="1" applyBorder="1"/>
    <xf numFmtId="0" fontId="0" fillId="9" borderId="0" xfId="0" applyFill="1"/>
    <xf numFmtId="169" fontId="4" fillId="0" borderId="3" xfId="3" applyNumberFormat="1" applyFont="1" applyBorder="1"/>
    <xf numFmtId="169" fontId="4" fillId="8" borderId="3" xfId="3" applyNumberFormat="1" applyFont="1" applyFill="1" applyBorder="1"/>
    <xf numFmtId="3" fontId="0" fillId="10" borderId="0" xfId="0" applyNumberFormat="1" applyFill="1"/>
    <xf numFmtId="169" fontId="0" fillId="0" borderId="3" xfId="3" applyNumberFormat="1" applyFont="1" applyBorder="1"/>
    <xf numFmtId="3" fontId="0" fillId="10" borderId="0" xfId="0" applyNumberFormat="1" applyFill="1" applyAlignment="1">
      <alignment horizontal="center"/>
    </xf>
    <xf numFmtId="164" fontId="0" fillId="0" borderId="0" xfId="1" applyFont="1" applyFill="1"/>
    <xf numFmtId="3" fontId="21" fillId="0" borderId="3" xfId="3" applyNumberFormat="1" applyFont="1" applyBorder="1" applyAlignment="1" applyProtection="1">
      <alignment vertical="center"/>
    </xf>
    <xf numFmtId="3" fontId="5" fillId="0" borderId="0" xfId="0" applyNumberFormat="1" applyFont="1"/>
    <xf numFmtId="3" fontId="4" fillId="10" borderId="0" xfId="0" applyNumberFormat="1" applyFont="1" applyFill="1"/>
    <xf numFmtId="3" fontId="11" fillId="10" borderId="0" xfId="0" applyNumberFormat="1" applyFont="1" applyFill="1" applyAlignment="1">
      <alignment horizontal="center"/>
    </xf>
    <xf numFmtId="3" fontId="11" fillId="0" borderId="0" xfId="0" applyNumberFormat="1" applyFont="1" applyAlignment="1">
      <alignment horizontal="center" vertical="center"/>
    </xf>
    <xf numFmtId="3" fontId="11" fillId="10" borderId="0" xfId="3" applyNumberFormat="1" applyFont="1" applyFill="1" applyBorder="1" applyAlignment="1" applyProtection="1">
      <alignment horizontal="center"/>
    </xf>
    <xf numFmtId="3" fontId="11" fillId="0" borderId="0" xfId="0" applyNumberFormat="1" applyFont="1" applyAlignment="1">
      <alignment horizontal="center"/>
    </xf>
    <xf numFmtId="3" fontId="10" fillId="0" borderId="0" xfId="0" applyNumberFormat="1" applyFont="1"/>
    <xf numFmtId="3" fontId="11" fillId="0" borderId="0" xfId="3" applyNumberFormat="1" applyFont="1" applyFill="1" applyBorder="1" applyAlignment="1" applyProtection="1">
      <alignment horizontal="center"/>
    </xf>
    <xf numFmtId="3" fontId="12" fillId="0" borderId="0" xfId="3" applyNumberFormat="1" applyFont="1" applyFill="1" applyBorder="1" applyProtection="1"/>
    <xf numFmtId="171" fontId="17" fillId="0" borderId="3" xfId="4" applyNumberFormat="1" applyFont="1" applyBorder="1" applyProtection="1">
      <protection locked="0"/>
    </xf>
    <xf numFmtId="0" fontId="24" fillId="5" borderId="3" xfId="0" applyFont="1" applyFill="1" applyBorder="1"/>
    <xf numFmtId="168" fontId="4" fillId="5" borderId="3" xfId="0" applyNumberFormat="1" applyFont="1" applyFill="1" applyBorder="1"/>
    <xf numFmtId="3" fontId="0" fillId="0" borderId="0" xfId="9" applyNumberFormat="1" applyFont="1" applyFill="1" applyAlignment="1">
      <alignment horizontal="center"/>
    </xf>
    <xf numFmtId="3" fontId="13" fillId="0" borderId="0" xfId="3" applyNumberFormat="1" applyFont="1" applyFill="1" applyBorder="1" applyAlignment="1" applyProtection="1">
      <alignment horizontal="right" vertical="center"/>
    </xf>
    <xf numFmtId="3" fontId="0" fillId="0" borderId="0" xfId="3" applyNumberFormat="1" applyFont="1" applyFill="1"/>
    <xf numFmtId="168" fontId="16" fillId="6" borderId="3" xfId="3" applyNumberFormat="1" applyFont="1" applyFill="1" applyBorder="1" applyAlignment="1" applyProtection="1">
      <alignment horizontal="right"/>
    </xf>
    <xf numFmtId="4" fontId="4" fillId="11" borderId="6" xfId="0" applyNumberFormat="1" applyFont="1" applyFill="1" applyBorder="1"/>
    <xf numFmtId="0" fontId="4" fillId="11" borderId="6" xfId="0" applyFont="1" applyFill="1" applyBorder="1"/>
    <xf numFmtId="0" fontId="4" fillId="0" borderId="9" xfId="0" applyFont="1" applyBorder="1"/>
    <xf numFmtId="0" fontId="4" fillId="0" borderId="9" xfId="0" applyFont="1" applyBorder="1" applyAlignment="1">
      <alignment vertical="center"/>
    </xf>
    <xf numFmtId="0" fontId="25" fillId="0" borderId="15" xfId="0" applyFont="1" applyBorder="1" applyAlignment="1">
      <alignment horizontal="center"/>
    </xf>
    <xf numFmtId="0" fontId="25" fillId="0" borderId="15" xfId="0" applyFont="1" applyBorder="1"/>
    <xf numFmtId="170" fontId="4" fillId="0" borderId="18" xfId="0" applyNumberFormat="1" applyFont="1" applyBorder="1" applyAlignment="1">
      <alignment vertical="center"/>
    </xf>
    <xf numFmtId="170" fontId="4" fillId="0" borderId="19" xfId="0" applyNumberFormat="1" applyFont="1" applyBorder="1" applyAlignment="1">
      <alignment vertical="center"/>
    </xf>
    <xf numFmtId="164" fontId="4" fillId="0" borderId="0" xfId="0" applyNumberFormat="1" applyFont="1"/>
    <xf numFmtId="0" fontId="10" fillId="0" borderId="3" xfId="0" applyFont="1" applyBorder="1"/>
    <xf numFmtId="3" fontId="0" fillId="0" borderId="3" xfId="0" applyNumberFormat="1" applyBorder="1"/>
    <xf numFmtId="164" fontId="0" fillId="0" borderId="3" xfId="1" applyFont="1" applyBorder="1"/>
    <xf numFmtId="164" fontId="0" fillId="0" borderId="3" xfId="0" applyNumberFormat="1" applyBorder="1"/>
    <xf numFmtId="164" fontId="4" fillId="0" borderId="3" xfId="0" applyNumberFormat="1" applyFont="1" applyBorder="1"/>
    <xf numFmtId="0" fontId="4" fillId="0" borderId="3" xfId="0" applyFont="1" applyBorder="1"/>
    <xf numFmtId="164" fontId="4" fillId="0" borderId="3" xfId="1" applyFont="1" applyBorder="1" applyAlignment="1">
      <alignment wrapText="1"/>
    </xf>
    <xf numFmtId="0" fontId="4" fillId="0" borderId="3" xfId="0" applyFont="1" applyBorder="1" applyAlignment="1">
      <alignment wrapText="1"/>
    </xf>
    <xf numFmtId="9" fontId="4" fillId="0" borderId="23" xfId="9" applyFont="1" applyBorder="1" applyAlignment="1">
      <alignment vertical="center"/>
    </xf>
    <xf numFmtId="9" fontId="4" fillId="0" borderId="20" xfId="9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5" fillId="0" borderId="9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0" borderId="9" xfId="0" applyFont="1" applyBorder="1"/>
    <xf numFmtId="0" fontId="25" fillId="0" borderId="0" xfId="0" applyFont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4" fontId="27" fillId="0" borderId="10" xfId="0" applyNumberFormat="1" applyFont="1" applyBorder="1" applyAlignment="1">
      <alignment vertical="center"/>
    </xf>
    <xf numFmtId="0" fontId="28" fillId="0" borderId="0" xfId="0" applyFont="1"/>
    <xf numFmtId="4" fontId="28" fillId="0" borderId="10" xfId="0" applyNumberFormat="1" applyFont="1" applyBorder="1"/>
    <xf numFmtId="0" fontId="4" fillId="11" borderId="12" xfId="0" applyFont="1" applyFill="1" applyBorder="1"/>
    <xf numFmtId="0" fontId="4" fillId="0" borderId="6" xfId="0" applyFont="1" applyBorder="1"/>
    <xf numFmtId="0" fontId="4" fillId="11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/>
    </xf>
    <xf numFmtId="10" fontId="4" fillId="11" borderId="7" xfId="0" applyNumberFormat="1" applyFont="1" applyFill="1" applyBorder="1" applyAlignment="1">
      <alignment horizontal="center" vertical="center"/>
    </xf>
    <xf numFmtId="4" fontId="4" fillId="11" borderId="17" xfId="0" applyNumberFormat="1" applyFont="1" applyFill="1" applyBorder="1" applyAlignment="1">
      <alignment horizontal="center" vertical="center"/>
    </xf>
    <xf numFmtId="170" fontId="1" fillId="0" borderId="3" xfId="4" applyNumberFormat="1" applyFont="1" applyFill="1" applyBorder="1" applyAlignment="1">
      <alignment horizontal="center" vertical="center"/>
    </xf>
    <xf numFmtId="167" fontId="1" fillId="0" borderId="3" xfId="9" applyNumberFormat="1" applyFont="1" applyFill="1" applyBorder="1" applyAlignment="1">
      <alignment horizontal="right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vertical="center"/>
    </xf>
    <xf numFmtId="10" fontId="4" fillId="11" borderId="28" xfId="0" applyNumberFormat="1" applyFont="1" applyFill="1" applyBorder="1" applyAlignment="1">
      <alignment vertical="center"/>
    </xf>
    <xf numFmtId="0" fontId="1" fillId="0" borderId="9" xfId="0" applyFont="1" applyBorder="1"/>
    <xf numFmtId="0" fontId="1" fillId="0" borderId="0" xfId="0" applyFont="1"/>
    <xf numFmtId="10" fontId="1" fillId="0" borderId="0" xfId="0" applyNumberFormat="1" applyFont="1"/>
    <xf numFmtId="4" fontId="4" fillId="0" borderId="10" xfId="0" applyNumberFormat="1" applyFont="1" applyBorder="1"/>
    <xf numFmtId="4" fontId="1" fillId="0" borderId="10" xfId="0" applyNumberFormat="1" applyFont="1" applyBorder="1"/>
    <xf numFmtId="0" fontId="1" fillId="0" borderId="8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4" fillId="0" borderId="10" xfId="0" applyFont="1" applyBorder="1"/>
    <xf numFmtId="3" fontId="8" fillId="6" borderId="0" xfId="8" applyNumberFormat="1" applyFill="1" applyAlignment="1">
      <alignment horizontal="center" wrapText="1"/>
    </xf>
    <xf numFmtId="9" fontId="8" fillId="7" borderId="0" xfId="8" applyNumberFormat="1" applyFill="1" applyAlignment="1">
      <alignment horizontal="center" wrapText="1"/>
    </xf>
    <xf numFmtId="0" fontId="0" fillId="0" borderId="0" xfId="0" applyAlignment="1">
      <alignment horizontal="center"/>
    </xf>
    <xf numFmtId="0" fontId="28" fillId="0" borderId="5" xfId="0" applyFont="1" applyBorder="1"/>
    <xf numFmtId="4" fontId="28" fillId="0" borderId="11" xfId="0" applyNumberFormat="1" applyFont="1" applyBorder="1"/>
    <xf numFmtId="0" fontId="28" fillId="0" borderId="12" xfId="0" applyFont="1" applyBorder="1" applyAlignment="1">
      <alignment horizontal="left"/>
    </xf>
    <xf numFmtId="0" fontId="28" fillId="0" borderId="6" xfId="0" applyFont="1" applyBorder="1" applyAlignment="1">
      <alignment horizontal="left"/>
    </xf>
    <xf numFmtId="0" fontId="28" fillId="0" borderId="6" xfId="0" applyFont="1" applyBorder="1" applyAlignment="1">
      <alignment vertical="top" wrapText="1"/>
    </xf>
    <xf numFmtId="4" fontId="28" fillId="0" borderId="6" xfId="0" applyNumberFormat="1" applyFont="1" applyBorder="1"/>
    <xf numFmtId="0" fontId="28" fillId="0" borderId="6" xfId="0" applyFont="1" applyBorder="1"/>
    <xf numFmtId="4" fontId="28" fillId="0" borderId="13" xfId="0" applyNumberFormat="1" applyFont="1" applyBorder="1"/>
    <xf numFmtId="0" fontId="28" fillId="0" borderId="8" xfId="0" applyFont="1" applyBorder="1"/>
    <xf numFmtId="0" fontId="29" fillId="0" borderId="5" xfId="0" applyFont="1" applyBorder="1" applyAlignment="1">
      <alignment horizontal="center"/>
    </xf>
    <xf numFmtId="10" fontId="28" fillId="0" borderId="5" xfId="0" applyNumberFormat="1" applyFont="1" applyBorder="1"/>
    <xf numFmtId="3" fontId="1" fillId="0" borderId="0" xfId="0" applyNumberFormat="1" applyFont="1"/>
    <xf numFmtId="0" fontId="28" fillId="0" borderId="10" xfId="0" applyFont="1" applyBorder="1"/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3" fontId="4" fillId="0" borderId="5" xfId="0" applyNumberFormat="1" applyFont="1" applyBorder="1"/>
    <xf numFmtId="0" fontId="28" fillId="0" borderId="11" xfId="0" applyFont="1" applyBorder="1"/>
    <xf numFmtId="170" fontId="1" fillId="0" borderId="19" xfId="0" applyNumberFormat="1" applyFont="1" applyBorder="1" applyAlignment="1">
      <alignment vertical="center"/>
    </xf>
    <xf numFmtId="9" fontId="1" fillId="0" borderId="3" xfId="9" applyFont="1" applyBorder="1"/>
    <xf numFmtId="0" fontId="4" fillId="0" borderId="12" xfId="0" applyFont="1" applyBorder="1"/>
    <xf numFmtId="0" fontId="4" fillId="0" borderId="6" xfId="0" applyFont="1" applyBorder="1" applyAlignment="1">
      <alignment horizontal="center"/>
    </xf>
    <xf numFmtId="10" fontId="1" fillId="0" borderId="6" xfId="0" applyNumberFormat="1" applyFont="1" applyBorder="1"/>
    <xf numFmtId="4" fontId="27" fillId="0" borderId="10" xfId="0" applyNumberFormat="1" applyFont="1" applyBorder="1" applyAlignment="1">
      <alignment horizontal="left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vertical="center"/>
    </xf>
    <xf numFmtId="10" fontId="4" fillId="11" borderId="2" xfId="0" applyNumberFormat="1" applyFont="1" applyFill="1" applyBorder="1" applyAlignment="1">
      <alignment vertical="center"/>
    </xf>
    <xf numFmtId="170" fontId="4" fillId="0" borderId="28" xfId="0" applyNumberFormat="1" applyFont="1" applyBorder="1" applyAlignment="1">
      <alignment horizontal="center" vertical="center"/>
    </xf>
    <xf numFmtId="9" fontId="4" fillId="0" borderId="28" xfId="9" applyFont="1" applyFill="1" applyBorder="1" applyAlignment="1">
      <alignment horizontal="center" vertical="center"/>
    </xf>
    <xf numFmtId="9" fontId="4" fillId="0" borderId="30" xfId="9" applyFont="1" applyFill="1" applyBorder="1" applyAlignment="1">
      <alignment horizontal="center" vertical="center"/>
    </xf>
    <xf numFmtId="170" fontId="4" fillId="0" borderId="29" xfId="0" applyNumberFormat="1" applyFont="1" applyBorder="1" applyAlignment="1">
      <alignment vertical="center"/>
    </xf>
    <xf numFmtId="14" fontId="4" fillId="0" borderId="13" xfId="0" applyNumberFormat="1" applyFont="1" applyBorder="1"/>
    <xf numFmtId="164" fontId="4" fillId="0" borderId="13" xfId="1" applyFont="1" applyBorder="1" applyAlignment="1">
      <alignment horizontal="center"/>
    </xf>
    <xf numFmtId="14" fontId="4" fillId="0" borderId="6" xfId="0" applyNumberFormat="1" applyFont="1" applyBorder="1"/>
    <xf numFmtId="169" fontId="1" fillId="3" borderId="3" xfId="3" applyNumberFormat="1" applyFont="1" applyFill="1" applyBorder="1"/>
    <xf numFmtId="164" fontId="4" fillId="11" borderId="2" xfId="1" applyFont="1" applyFill="1" applyBorder="1" applyAlignment="1">
      <alignment vertical="center"/>
    </xf>
    <xf numFmtId="164" fontId="4" fillId="11" borderId="28" xfId="1" applyFont="1" applyFill="1" applyBorder="1" applyAlignment="1">
      <alignment vertical="center"/>
    </xf>
    <xf numFmtId="3" fontId="21" fillId="0" borderId="3" xfId="3" applyNumberFormat="1" applyFont="1" applyFill="1" applyBorder="1" applyAlignment="1" applyProtection="1">
      <alignment vertical="center"/>
    </xf>
    <xf numFmtId="14" fontId="4" fillId="0" borderId="6" xfId="0" applyNumberFormat="1" applyFont="1" applyBorder="1" applyAlignment="1">
      <alignment horizontal="center"/>
    </xf>
    <xf numFmtId="3" fontId="24" fillId="0" borderId="3" xfId="3" applyNumberFormat="1" applyFont="1" applyBorder="1" applyAlignment="1" applyProtection="1">
      <alignment vertical="center"/>
    </xf>
    <xf numFmtId="43" fontId="4" fillId="5" borderId="3" xfId="0" applyNumberFormat="1" applyFont="1" applyFill="1" applyBorder="1"/>
    <xf numFmtId="10" fontId="1" fillId="11" borderId="6" xfId="0" applyNumberFormat="1" applyFont="1" applyFill="1" applyBorder="1" applyAlignment="1">
      <alignment horizontal="center"/>
    </xf>
    <xf numFmtId="10" fontId="4" fillId="11" borderId="6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10" fontId="1" fillId="0" borderId="3" xfId="9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3" xfId="0" applyFont="1" applyBorder="1"/>
    <xf numFmtId="0" fontId="1" fillId="9" borderId="0" xfId="0" applyFont="1" applyFill="1"/>
    <xf numFmtId="3" fontId="1" fillId="10" borderId="0" xfId="0" applyNumberFormat="1" applyFont="1" applyFill="1" applyAlignment="1">
      <alignment horizontal="right"/>
    </xf>
    <xf numFmtId="3" fontId="1" fillId="10" borderId="0" xfId="0" applyNumberFormat="1" applyFont="1" applyFill="1"/>
    <xf numFmtId="3" fontId="1" fillId="0" borderId="0" xfId="0" applyNumberFormat="1" applyFont="1" applyAlignment="1">
      <alignment horizontal="right"/>
    </xf>
    <xf numFmtId="164" fontId="1" fillId="0" borderId="0" xfId="1" applyFont="1" applyFill="1" applyAlignment="1">
      <alignment horizontal="center"/>
    </xf>
    <xf numFmtId="9" fontId="1" fillId="0" borderId="3" xfId="9" applyFont="1" applyFill="1" applyBorder="1" applyAlignment="1">
      <alignment horizontal="right" vertical="center"/>
    </xf>
    <xf numFmtId="9" fontId="1" fillId="0" borderId="20" xfId="9" applyFont="1" applyFill="1" applyBorder="1" applyAlignment="1">
      <alignment horizontal="right" vertical="center"/>
    </xf>
    <xf numFmtId="170" fontId="1" fillId="0" borderId="20" xfId="9" applyNumberFormat="1" applyFont="1" applyFill="1" applyBorder="1" applyAlignment="1">
      <alignment horizontal="right" vertical="center"/>
    </xf>
    <xf numFmtId="174" fontId="1" fillId="0" borderId="20" xfId="9" applyNumberFormat="1" applyFont="1" applyFill="1" applyBorder="1" applyAlignment="1">
      <alignment horizontal="right" vertical="center"/>
    </xf>
    <xf numFmtId="9" fontId="1" fillId="0" borderId="3" xfId="9" applyFont="1" applyFill="1" applyBorder="1" applyAlignment="1">
      <alignment horizontal="center" vertical="center"/>
    </xf>
    <xf numFmtId="168" fontId="1" fillId="0" borderId="0" xfId="0" applyNumberFormat="1" applyFont="1"/>
    <xf numFmtId="171" fontId="1" fillId="0" borderId="0" xfId="0" applyNumberFormat="1" applyFont="1"/>
    <xf numFmtId="3" fontId="1" fillId="0" borderId="0" xfId="9" applyNumberFormat="1" applyFont="1" applyFill="1" applyBorder="1" applyAlignment="1">
      <alignment horizontal="center"/>
    </xf>
    <xf numFmtId="172" fontId="1" fillId="0" borderId="3" xfId="0" applyNumberFormat="1" applyFont="1" applyBorder="1" applyAlignment="1">
      <alignment horizontal="center"/>
    </xf>
    <xf numFmtId="173" fontId="1" fillId="8" borderId="3" xfId="0" applyNumberFormat="1" applyFont="1" applyFill="1" applyBorder="1" applyAlignment="1">
      <alignment horizontal="center"/>
    </xf>
    <xf numFmtId="168" fontId="1" fillId="6" borderId="3" xfId="3" applyNumberFormat="1" applyFont="1" applyFill="1" applyBorder="1" applyProtection="1"/>
    <xf numFmtId="0" fontId="1" fillId="0" borderId="3" xfId="0" applyFont="1" applyBorder="1" applyAlignment="1">
      <alignment wrapText="1"/>
    </xf>
    <xf numFmtId="3" fontId="1" fillId="0" borderId="3" xfId="0" applyNumberFormat="1" applyFont="1" applyBorder="1" applyAlignment="1">
      <alignment wrapText="1"/>
    </xf>
    <xf numFmtId="10" fontId="1" fillId="0" borderId="10" xfId="0" applyNumberFormat="1" applyFont="1" applyBorder="1"/>
    <xf numFmtId="10" fontId="0" fillId="0" borderId="5" xfId="0" applyNumberFormat="1" applyBorder="1"/>
    <xf numFmtId="4" fontId="0" fillId="0" borderId="11" xfId="0" applyNumberFormat="1" applyBorder="1"/>
    <xf numFmtId="0" fontId="30" fillId="0" borderId="0" xfId="0" applyFont="1" applyAlignment="1">
      <alignment horizontal="center"/>
    </xf>
    <xf numFmtId="167" fontId="4" fillId="3" borderId="3" xfId="9" applyNumberFormat="1" applyFont="1" applyFill="1" applyBorder="1" applyAlignment="1">
      <alignment horizontal="center" vertical="center"/>
    </xf>
    <xf numFmtId="0" fontId="30" fillId="0" borderId="0" xfId="0" applyFont="1"/>
    <xf numFmtId="3" fontId="4" fillId="0" borderId="33" xfId="0" applyNumberFormat="1" applyFont="1" applyBorder="1" applyAlignment="1">
      <alignment horizontal="center"/>
    </xf>
    <xf numFmtId="3" fontId="1" fillId="0" borderId="33" xfId="0" applyNumberFormat="1" applyFont="1" applyBorder="1"/>
    <xf numFmtId="3" fontId="0" fillId="0" borderId="33" xfId="0" applyNumberFormat="1" applyBorder="1"/>
    <xf numFmtId="0" fontId="4" fillId="0" borderId="33" xfId="0" applyFont="1" applyBorder="1" applyAlignment="1">
      <alignment horizontal="center"/>
    </xf>
    <xf numFmtId="0" fontId="1" fillId="0" borderId="33" xfId="0" applyFont="1" applyBorder="1"/>
    <xf numFmtId="0" fontId="0" fillId="0" borderId="33" xfId="0" applyBorder="1"/>
    <xf numFmtId="3" fontId="4" fillId="0" borderId="33" xfId="0" applyNumberFormat="1" applyFont="1" applyBorder="1"/>
    <xf numFmtId="0" fontId="4" fillId="0" borderId="10" xfId="0" applyFont="1" applyBorder="1" applyAlignment="1">
      <alignment horizontal="center"/>
    </xf>
    <xf numFmtId="0" fontId="32" fillId="0" borderId="5" xfId="0" applyFont="1" applyBorder="1"/>
    <xf numFmtId="0" fontId="1" fillId="0" borderId="0" xfId="0" applyFont="1" applyAlignment="1">
      <alignment horizontal="left"/>
    </xf>
    <xf numFmtId="16" fontId="4" fillId="0" borderId="10" xfId="0" applyNumberFormat="1" applyFont="1" applyBorder="1"/>
    <xf numFmtId="0" fontId="6" fillId="0" borderId="8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4" fillId="0" borderId="2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1" fillId="0" borderId="3" xfId="0" applyFont="1" applyBorder="1" applyAlignment="1">
      <alignment horizontal="left"/>
    </xf>
    <xf numFmtId="0" fontId="7" fillId="6" borderId="3" xfId="0" applyFont="1" applyFill="1" applyBorder="1" applyAlignment="1">
      <alignment horizontal="center"/>
    </xf>
    <xf numFmtId="0" fontId="7" fillId="6" borderId="20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21" fillId="0" borderId="20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4" fillId="0" borderId="20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5" borderId="20" xfId="0" applyFont="1" applyFill="1" applyBorder="1" applyAlignment="1">
      <alignment horizontal="center"/>
    </xf>
    <xf numFmtId="0" fontId="24" fillId="5" borderId="4" xfId="0" applyFont="1" applyFill="1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11" borderId="2" xfId="0" applyFont="1" applyFill="1" applyBorder="1" applyAlignment="1">
      <alignment horizontal="left" vertical="center"/>
    </xf>
    <xf numFmtId="0" fontId="4" fillId="11" borderId="28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5" fillId="0" borderId="14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4" fontId="27" fillId="0" borderId="16" xfId="0" applyNumberFormat="1" applyFont="1" applyBorder="1" applyAlignment="1">
      <alignment horizontal="left" vertical="center" wrapText="1"/>
    </xf>
    <xf numFmtId="4" fontId="27" fillId="0" borderId="10" xfId="0" applyNumberFormat="1" applyFont="1" applyBorder="1" applyAlignment="1">
      <alignment horizontal="left" vertical="center" wrapText="1"/>
    </xf>
    <xf numFmtId="0" fontId="24" fillId="4" borderId="20" xfId="0" applyFont="1" applyFill="1" applyBorder="1" applyAlignment="1">
      <alignment horizontal="center"/>
    </xf>
    <xf numFmtId="0" fontId="24" fillId="4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11" borderId="24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10" fontId="1" fillId="0" borderId="6" xfId="0" applyNumberFormat="1" applyFont="1" applyBorder="1" applyAlignment="1">
      <alignment horizontal="center"/>
    </xf>
    <xf numFmtId="10" fontId="1" fillId="0" borderId="13" xfId="0" applyNumberFormat="1" applyFont="1" applyBorder="1" applyAlignment="1">
      <alignment horizontal="center"/>
    </xf>
    <xf numFmtId="0" fontId="31" fillId="0" borderId="33" xfId="0" applyFont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center"/>
    </xf>
  </cellXfs>
  <cellStyles count="12">
    <cellStyle name="Millares [0]" xfId="1" builtinId="6"/>
    <cellStyle name="Millares [0] 2" xfId="2" xr:uid="{00000000-0005-0000-0000-000001000000}"/>
    <cellStyle name="Millares 2 2" xfId="3" xr:uid="{00000000-0005-0000-0000-000002000000}"/>
    <cellStyle name="Moneda" xfId="4" builtinId="4"/>
    <cellStyle name="Moneda 2" xfId="5" xr:uid="{00000000-0005-0000-0000-000004000000}"/>
    <cellStyle name="Moneda 3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Porcentaje" xfId="9" builtinId="5"/>
    <cellStyle name="Porcentaje 2" xfId="10" xr:uid="{00000000-0005-0000-0000-00000A000000}"/>
    <cellStyle name="Total" xfId="11" builtinId="25" customBuiltin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K$1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285750</xdr:colOff>
      <xdr:row>8</xdr:row>
      <xdr:rowOff>28575</xdr:rowOff>
    </xdr:from>
    <xdr:to>
      <xdr:col>22</xdr:col>
      <xdr:colOff>190500</xdr:colOff>
      <xdr:row>8</xdr:row>
      <xdr:rowOff>161925</xdr:rowOff>
    </xdr:to>
    <xdr:pic>
      <xdr:nvPicPr>
        <xdr:cNvPr id="90247" name="1 Imagen">
          <a:extLst>
            <a:ext uri="{FF2B5EF4-FFF2-40B4-BE49-F238E27FC236}">
              <a16:creationId xmlns:a16="http://schemas.microsoft.com/office/drawing/2014/main" id="{00000000-0008-0000-0000-0000876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14954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7</xdr:row>
          <xdr:rowOff>19050</xdr:rowOff>
        </xdr:from>
        <xdr:to>
          <xdr:col>22</xdr:col>
          <xdr:colOff>152400</xdr:colOff>
          <xdr:row>8</xdr:row>
          <xdr:rowOff>38100</xdr:rowOff>
        </xdr:to>
        <xdr:sp macro="" textlink="">
          <xdr:nvSpPr>
            <xdr:cNvPr id="69795" name="Check Box 163" hidden="1">
              <a:extLst>
                <a:ext uri="{63B3BB69-23CF-44E3-9099-C40C66FF867C}">
                  <a14:compatExt spid="_x0000_s69795"/>
                </a:ext>
                <a:ext uri="{FF2B5EF4-FFF2-40B4-BE49-F238E27FC236}">
                  <a16:creationId xmlns:a16="http://schemas.microsoft.com/office/drawing/2014/main" id="{00000000-0008-0000-0000-0000A3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266700</xdr:colOff>
      <xdr:row>0</xdr:row>
      <xdr:rowOff>123825</xdr:rowOff>
    </xdr:from>
    <xdr:to>
      <xdr:col>1</xdr:col>
      <xdr:colOff>625740</xdr:colOff>
      <xdr:row>3</xdr:row>
      <xdr:rowOff>381000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295275"/>
          <a:ext cx="159729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H53"/>
  <sheetViews>
    <sheetView tabSelected="1" view="pageBreakPreview" topLeftCell="A7" zoomScaleNormal="100" zoomScaleSheetLayoutView="100" workbookViewId="0">
      <selection activeCell="F12" sqref="F12:G12"/>
    </sheetView>
  </sheetViews>
  <sheetFormatPr defaultColWidth="9.140625" defaultRowHeight="12.75"/>
  <cols>
    <col min="1" max="1" width="18.5703125" customWidth="1"/>
    <col min="2" max="2" width="11.42578125" style="1" customWidth="1"/>
    <col min="3" max="3" width="17.5703125" customWidth="1"/>
    <col min="4" max="4" width="16.5703125" style="3" customWidth="1"/>
    <col min="5" max="5" width="26.5703125" style="3" customWidth="1"/>
    <col min="6" max="6" width="11.5703125" style="3" customWidth="1"/>
    <col min="7" max="7" width="26.85546875" style="2" customWidth="1"/>
    <col min="8" max="8" width="4.140625" hidden="1" customWidth="1"/>
    <col min="9" max="9" width="18.5703125" hidden="1" customWidth="1"/>
    <col min="10" max="10" width="12.85546875" hidden="1" customWidth="1"/>
    <col min="11" max="11" width="16.42578125" hidden="1" customWidth="1"/>
    <col min="12" max="12" width="12.85546875" hidden="1" customWidth="1"/>
    <col min="13" max="13" width="14.5703125" hidden="1" customWidth="1"/>
    <col min="14" max="14" width="18.42578125" hidden="1" customWidth="1"/>
    <col min="15" max="15" width="16.85546875" hidden="1" customWidth="1"/>
    <col min="16" max="16" width="12.7109375" style="37" hidden="1" customWidth="1"/>
    <col min="17" max="22" width="11.42578125" style="37" hidden="1" customWidth="1"/>
    <col min="23" max="29" width="11.42578125" style="37" customWidth="1"/>
    <col min="30" max="30" width="2.5703125" customWidth="1"/>
    <col min="31" max="31" width="22.140625" customWidth="1"/>
    <col min="32" max="32" width="14.5703125" customWidth="1"/>
    <col min="33" max="33" width="13" customWidth="1"/>
    <col min="34" max="261" width="11.42578125" customWidth="1"/>
  </cols>
  <sheetData>
    <row r="1" spans="1:34" s="35" customFormat="1" ht="12.75" customHeight="1">
      <c r="A1" s="243" t="b">
        <v>0</v>
      </c>
      <c r="B1" s="244"/>
      <c r="C1" s="247" t="s">
        <v>0</v>
      </c>
      <c r="D1" s="247"/>
      <c r="E1" s="247"/>
      <c r="F1" s="247"/>
      <c r="G1" s="249" t="s">
        <v>1</v>
      </c>
      <c r="I1" s="75" t="b">
        <v>0</v>
      </c>
      <c r="J1" s="76" t="b">
        <v>1</v>
      </c>
      <c r="K1" s="35" t="b">
        <v>0</v>
      </c>
      <c r="L1" s="35" t="b">
        <v>0</v>
      </c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</row>
    <row r="2" spans="1:34" ht="12.75" customHeight="1">
      <c r="A2" s="245"/>
      <c r="B2" s="246"/>
      <c r="C2" s="248"/>
      <c r="D2" s="248"/>
      <c r="E2" s="248"/>
      <c r="F2" s="248"/>
      <c r="G2" s="250"/>
    </row>
    <row r="3" spans="1:34" ht="12.75" customHeight="1">
      <c r="A3" s="245"/>
      <c r="B3" s="246"/>
      <c r="C3" s="248"/>
      <c r="D3" s="248"/>
      <c r="E3" s="248"/>
      <c r="F3" s="248"/>
      <c r="G3" s="250"/>
      <c r="P3" s="2"/>
    </row>
    <row r="4" spans="1:34" ht="36.75" customHeight="1">
      <c r="A4" s="245"/>
      <c r="B4" s="246"/>
      <c r="C4" s="248"/>
      <c r="D4" s="248"/>
      <c r="E4" s="248"/>
      <c r="F4" s="248"/>
      <c r="G4" s="250"/>
      <c r="X4" s="45" t="s">
        <v>2</v>
      </c>
      <c r="Y4" s="45">
        <v>130456209</v>
      </c>
      <c r="Z4" s="45"/>
      <c r="AA4" s="45"/>
      <c r="AB4" s="45"/>
    </row>
    <row r="5" spans="1:34" ht="15" customHeight="1">
      <c r="A5" s="91"/>
      <c r="B5" s="92"/>
      <c r="C5" s="95"/>
      <c r="D5" s="95"/>
      <c r="E5" s="95"/>
      <c r="F5" s="95"/>
      <c r="G5" s="147"/>
      <c r="J5" s="43"/>
    </row>
    <row r="6" spans="1:34" ht="6.75" customHeight="1">
      <c r="A6" s="93"/>
      <c r="B6" s="94"/>
      <c r="C6" s="96"/>
      <c r="D6" s="96"/>
      <c r="E6" s="96"/>
      <c r="F6" s="96"/>
      <c r="G6" s="97"/>
      <c r="O6" s="1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5"/>
    </row>
    <row r="7" spans="1:34" ht="15" customHeight="1">
      <c r="A7" s="266" t="s">
        <v>3</v>
      </c>
      <c r="B7" s="267"/>
      <c r="C7" s="267"/>
      <c r="D7" s="267"/>
      <c r="E7" s="267"/>
      <c r="F7" s="267"/>
      <c r="G7" s="268"/>
      <c r="I7" s="32" t="s">
        <v>4</v>
      </c>
      <c r="J7" s="158">
        <f>+E15</f>
        <v>130456208.54000001</v>
      </c>
      <c r="K7" s="33" t="s">
        <v>5</v>
      </c>
      <c r="L7" s="32">
        <v>30</v>
      </c>
      <c r="O7" s="169"/>
      <c r="AD7" s="37"/>
      <c r="AE7" s="112"/>
    </row>
    <row r="8" spans="1:34" ht="19.5" customHeight="1">
      <c r="A8" s="259"/>
      <c r="B8" s="260"/>
      <c r="C8" s="260"/>
      <c r="D8" s="260"/>
      <c r="E8" s="260"/>
      <c r="F8" s="260"/>
      <c r="G8" s="261"/>
      <c r="I8" s="170" t="s">
        <v>6</v>
      </c>
      <c r="J8" s="46">
        <f>IF(K1=FALSE,0,((J7/30)*L7)/1.19)</f>
        <v>0</v>
      </c>
      <c r="K8" s="112" t="s">
        <v>7</v>
      </c>
      <c r="L8">
        <v>20</v>
      </c>
      <c r="O8" s="169"/>
      <c r="P8" s="134"/>
      <c r="Q8" s="134"/>
      <c r="R8" s="134"/>
      <c r="S8" s="134"/>
      <c r="AD8" s="37"/>
      <c r="AE8" s="112"/>
    </row>
    <row r="9" spans="1:34" ht="15" customHeight="1">
      <c r="A9" s="100" t="s">
        <v>8</v>
      </c>
      <c r="B9" s="262" t="s">
        <v>9</v>
      </c>
      <c r="C9" s="262"/>
      <c r="D9" s="262"/>
      <c r="E9" s="262"/>
      <c r="F9" s="71" t="s">
        <v>10</v>
      </c>
      <c r="G9" s="155">
        <v>45251</v>
      </c>
      <c r="I9" s="170" t="s">
        <v>11</v>
      </c>
      <c r="J9" s="46">
        <f>IF(K1=TRUE,J8*0.19,0)</f>
        <v>0</v>
      </c>
      <c r="K9" s="112" t="s">
        <v>12</v>
      </c>
      <c r="M9" s="171" t="s">
        <v>13</v>
      </c>
      <c r="N9" s="47">
        <v>19</v>
      </c>
      <c r="O9" s="169"/>
      <c r="Q9" s="134"/>
      <c r="R9" s="134"/>
      <c r="S9" s="134"/>
      <c r="AD9" s="37"/>
      <c r="AE9" s="112"/>
    </row>
    <row r="10" spans="1:34" ht="15" customHeight="1">
      <c r="A10" s="100" t="s">
        <v>14</v>
      </c>
      <c r="B10" s="262" t="s">
        <v>15</v>
      </c>
      <c r="C10" s="262"/>
      <c r="D10" s="262"/>
      <c r="E10" s="262"/>
      <c r="F10" s="71" t="s">
        <v>16</v>
      </c>
      <c r="G10" s="156" t="s">
        <v>17</v>
      </c>
      <c r="I10" s="32" t="s">
        <v>18</v>
      </c>
      <c r="J10" s="48">
        <f>IF(K1=TRUE,J8+J9,J7/30*L7)</f>
        <v>130456208.54000001</v>
      </c>
      <c r="K10" s="34"/>
      <c r="M10" s="171" t="s">
        <v>19</v>
      </c>
      <c r="N10" s="47">
        <v>9</v>
      </c>
      <c r="O10" s="169"/>
      <c r="Y10" s="44"/>
      <c r="Z10" s="44"/>
      <c r="AA10" s="44"/>
      <c r="AB10" s="44"/>
      <c r="AC10" s="44"/>
      <c r="AD10" s="44"/>
      <c r="AE10" s="44"/>
    </row>
    <row r="11" spans="1:34" ht="15" customHeight="1">
      <c r="A11" s="100" t="s">
        <v>20</v>
      </c>
      <c r="B11" s="101"/>
      <c r="C11" s="72" t="s">
        <v>21</v>
      </c>
      <c r="D11" s="72"/>
      <c r="E11" s="162" t="s">
        <v>22</v>
      </c>
      <c r="F11" s="165" t="s">
        <v>23</v>
      </c>
      <c r="G11" s="157" t="s">
        <v>24</v>
      </c>
      <c r="N11">
        <f>SUM(N9:N10)</f>
        <v>28</v>
      </c>
      <c r="O11" s="169"/>
      <c r="P11" s="134"/>
      <c r="U11" s="134"/>
      <c r="Y11" s="167"/>
      <c r="Z11" s="167"/>
      <c r="AA11" s="167"/>
      <c r="AB11" s="167"/>
      <c r="AC11" s="167"/>
      <c r="AD11" s="167"/>
      <c r="AE11" s="112"/>
    </row>
    <row r="12" spans="1:34" ht="15" customHeight="1">
      <c r="A12" s="100" t="s">
        <v>25</v>
      </c>
      <c r="B12" s="210" t="s">
        <v>26</v>
      </c>
      <c r="C12" s="210"/>
      <c r="D12" s="210"/>
      <c r="E12" s="166" t="s">
        <v>27</v>
      </c>
      <c r="F12" s="269" t="s">
        <v>28</v>
      </c>
      <c r="G12" s="270"/>
      <c r="I12" s="254" t="s">
        <v>29</v>
      </c>
      <c r="J12" s="254"/>
      <c r="K12" s="49">
        <f>IF(K1=TRUE,J8,J10)</f>
        <v>130456208.54000001</v>
      </c>
      <c r="L12" s="43">
        <f>+K12*40/100</f>
        <v>52182483.416000001</v>
      </c>
      <c r="O12" s="172">
        <v>7200000</v>
      </c>
      <c r="P12" s="173">
        <v>10</v>
      </c>
      <c r="Q12" s="50">
        <f>+O12/30*P12</f>
        <v>2400000</v>
      </c>
      <c r="R12" s="50">
        <f>+Q12*40%</f>
        <v>960000</v>
      </c>
      <c r="S12" s="50"/>
      <c r="T12" s="50"/>
      <c r="U12" s="134"/>
      <c r="Y12" s="44"/>
      <c r="Z12" s="44"/>
      <c r="AA12" s="44"/>
      <c r="AB12" s="44"/>
      <c r="AC12" s="44"/>
      <c r="AD12" s="1"/>
      <c r="AE12" s="265" t="s">
        <v>30</v>
      </c>
      <c r="AF12" s="265"/>
      <c r="AG12" s="265"/>
      <c r="AH12" s="265"/>
    </row>
    <row r="13" spans="1:34" ht="21" customHeight="1" thickBot="1">
      <c r="A13" s="144"/>
      <c r="B13" s="210"/>
      <c r="C13" s="210"/>
      <c r="D13" s="145"/>
      <c r="E13" s="146"/>
      <c r="F13" s="263"/>
      <c r="G13" s="264"/>
      <c r="I13" s="11" t="s">
        <v>31</v>
      </c>
      <c r="J13" s="16">
        <v>0.4</v>
      </c>
      <c r="K13" s="51">
        <f>+K12*J13</f>
        <v>52182483.416000009</v>
      </c>
      <c r="L13" s="34"/>
      <c r="M13" s="34"/>
      <c r="O13" s="172">
        <v>8400000</v>
      </c>
      <c r="P13" s="50">
        <v>19</v>
      </c>
      <c r="Q13" s="50">
        <f>+O13/30*P13</f>
        <v>5320000</v>
      </c>
      <c r="R13" s="50">
        <f>+Q13*40%</f>
        <v>2128000</v>
      </c>
      <c r="S13" s="50"/>
      <c r="T13" s="50"/>
      <c r="U13" s="174"/>
      <c r="X13" s="44" t="s">
        <v>32</v>
      </c>
      <c r="Y13" s="44" t="s">
        <v>33</v>
      </c>
      <c r="Z13" s="44" t="s">
        <v>34</v>
      </c>
      <c r="AA13" s="44" t="s">
        <v>35</v>
      </c>
      <c r="AB13" s="44" t="s">
        <v>36</v>
      </c>
      <c r="AC13" s="44" t="s">
        <v>37</v>
      </c>
      <c r="AD13" s="37"/>
      <c r="AE13" s="195" t="s">
        <v>38</v>
      </c>
      <c r="AF13" s="195" t="s">
        <v>12</v>
      </c>
      <c r="AG13" s="195" t="s">
        <v>39</v>
      </c>
      <c r="AH13" s="195" t="s">
        <v>37</v>
      </c>
    </row>
    <row r="14" spans="1:34" s="1" customFormat="1" ht="30" customHeight="1" thickTop="1" thickBot="1">
      <c r="A14" s="255" t="s">
        <v>40</v>
      </c>
      <c r="B14" s="256"/>
      <c r="C14" s="102" t="s">
        <v>41</v>
      </c>
      <c r="D14" s="102" t="s">
        <v>42</v>
      </c>
      <c r="E14" s="103" t="s">
        <v>43</v>
      </c>
      <c r="F14" s="104" t="s">
        <v>44</v>
      </c>
      <c r="G14" s="105" t="s">
        <v>45</v>
      </c>
      <c r="I14" s="39" t="s">
        <v>46</v>
      </c>
      <c r="J14" s="23">
        <v>0.125</v>
      </c>
      <c r="K14" s="24">
        <f>+K13*J14</f>
        <v>6522810.4270000011</v>
      </c>
      <c r="L14" s="175"/>
      <c r="M14" s="232" t="s">
        <v>47</v>
      </c>
      <c r="N14" s="233"/>
      <c r="O14" s="172"/>
      <c r="P14" s="50"/>
      <c r="Q14" s="50"/>
      <c r="R14" s="50">
        <f>SUM(R12:R13)</f>
        <v>3088000</v>
      </c>
      <c r="S14" s="52" t="s">
        <v>40</v>
      </c>
      <c r="T14" s="50"/>
      <c r="U14" s="37"/>
      <c r="V14" s="37"/>
      <c r="W14" s="37"/>
      <c r="X14" s="37">
        <v>51680000</v>
      </c>
      <c r="Y14" s="37">
        <v>32835100</v>
      </c>
      <c r="Z14" s="37">
        <v>-2905000</v>
      </c>
      <c r="AA14" s="37">
        <v>19923560</v>
      </c>
      <c r="AB14" s="37">
        <v>8093406</v>
      </c>
      <c r="AC14" s="37">
        <f>SUM(X14:AB14)</f>
        <v>109627066</v>
      </c>
      <c r="AD14" s="37"/>
      <c r="AE14" s="196" t="s">
        <v>48</v>
      </c>
      <c r="AF14" s="197">
        <v>4338655</v>
      </c>
      <c r="AG14" s="198">
        <v>0</v>
      </c>
      <c r="AH14" s="195">
        <f>+AF14+AG14</f>
        <v>4338655</v>
      </c>
    </row>
    <row r="15" spans="1:34" ht="15" customHeight="1" thickTop="1">
      <c r="A15" s="257" t="s">
        <v>29</v>
      </c>
      <c r="B15" s="258"/>
      <c r="C15" s="5" t="s">
        <v>49</v>
      </c>
      <c r="D15" s="5">
        <v>5506050000</v>
      </c>
      <c r="E15" s="8">
        <f>+AC16</f>
        <v>130456208.54000001</v>
      </c>
      <c r="F15" s="88"/>
      <c r="G15" s="77">
        <f>+E15</f>
        <v>130456208.54000001</v>
      </c>
      <c r="I15" s="234" t="s">
        <v>50</v>
      </c>
      <c r="J15" s="15">
        <v>0.16</v>
      </c>
      <c r="K15" s="24">
        <f>+K13*J15</f>
        <v>8349197.3465600014</v>
      </c>
      <c r="L15" s="53"/>
      <c r="M15" s="11" t="s">
        <v>51</v>
      </c>
      <c r="N15" s="11" t="s">
        <v>52</v>
      </c>
      <c r="O15" s="172"/>
      <c r="P15" s="50"/>
      <c r="Q15" s="173" t="s">
        <v>53</v>
      </c>
      <c r="R15" s="50">
        <f>+R14*J14</f>
        <v>386000</v>
      </c>
      <c r="S15" s="50">
        <f>26000+360000</f>
        <v>386000</v>
      </c>
      <c r="T15" s="50"/>
      <c r="X15" s="134">
        <f>+X14*0.19</f>
        <v>9819200</v>
      </c>
      <c r="Y15" s="134">
        <f>+Y14*0.19</f>
        <v>6238669</v>
      </c>
      <c r="Z15" s="134">
        <f>+Z14*0.19</f>
        <v>-551950</v>
      </c>
      <c r="AA15" s="134">
        <f>+AA14*0.19</f>
        <v>3785476.4</v>
      </c>
      <c r="AB15" s="134">
        <f>+AB14*0.19</f>
        <v>1537747.1400000001</v>
      </c>
      <c r="AC15" s="37">
        <f t="shared" ref="AC15:AC16" si="0">SUM(X15:AB15)</f>
        <v>20829142.539999999</v>
      </c>
      <c r="AD15" s="45"/>
      <c r="AE15" s="199" t="s">
        <v>54</v>
      </c>
      <c r="AF15" s="197"/>
      <c r="AG15" s="197">
        <v>2300000</v>
      </c>
      <c r="AH15" s="195">
        <f t="shared" ref="AH15:AH21" si="1">+AF15+AG15</f>
        <v>2300000</v>
      </c>
    </row>
    <row r="16" spans="1:34" ht="15" customHeight="1">
      <c r="A16" s="230" t="s">
        <v>55</v>
      </c>
      <c r="B16" s="231"/>
      <c r="C16" s="5">
        <v>24361502</v>
      </c>
      <c r="D16" s="143"/>
      <c r="E16" s="106">
        <f>+AF22</f>
        <v>16477152</v>
      </c>
      <c r="F16" s="143">
        <v>0.11</v>
      </c>
      <c r="G16" s="142">
        <f>+E16*F16</f>
        <v>1812486.72</v>
      </c>
      <c r="I16" s="234"/>
      <c r="J16" s="15">
        <v>0.01</v>
      </c>
      <c r="K16" s="24"/>
      <c r="L16" s="53">
        <f>16800*2</f>
        <v>33600</v>
      </c>
      <c r="M16" s="11" t="s">
        <v>56</v>
      </c>
      <c r="N16" s="12">
        <v>5.2199999999999998E-3</v>
      </c>
      <c r="O16" s="50"/>
      <c r="P16" s="50"/>
      <c r="Q16" s="173" t="s">
        <v>57</v>
      </c>
      <c r="R16" s="50">
        <f>+R14*J15</f>
        <v>494080</v>
      </c>
      <c r="S16" s="50">
        <f>64300+460800</f>
        <v>525100</v>
      </c>
      <c r="T16" s="50">
        <f>+R16-S16</f>
        <v>-31020</v>
      </c>
      <c r="X16" s="45">
        <f>+X14+X15</f>
        <v>61499200</v>
      </c>
      <c r="Y16" s="45">
        <f t="shared" ref="Y16" si="2">+Y14+Y15</f>
        <v>39073769</v>
      </c>
      <c r="Z16" s="45">
        <f t="shared" ref="Z16:AA16" si="3">+Z14+Z15</f>
        <v>-3456950</v>
      </c>
      <c r="AA16" s="45">
        <f t="shared" si="3"/>
        <v>23709036.399999999</v>
      </c>
      <c r="AB16" s="45">
        <f t="shared" ref="AB16" si="4">+AB14+AB15</f>
        <v>9631153.1400000006</v>
      </c>
      <c r="AC16" s="37">
        <f t="shared" si="0"/>
        <v>130456208.54000001</v>
      </c>
      <c r="AE16" s="199" t="s">
        <v>54</v>
      </c>
      <c r="AF16" s="197"/>
      <c r="AG16" s="197">
        <v>0</v>
      </c>
      <c r="AH16" s="195">
        <f t="shared" si="1"/>
        <v>0</v>
      </c>
    </row>
    <row r="17" spans="1:34" ht="15" customHeight="1">
      <c r="A17" s="230" t="s">
        <v>58</v>
      </c>
      <c r="B17" s="231"/>
      <c r="C17" s="106"/>
      <c r="D17" s="176"/>
      <c r="E17" s="106">
        <f>+AG22</f>
        <v>3446408</v>
      </c>
      <c r="F17" s="177">
        <v>0.04</v>
      </c>
      <c r="G17" s="142">
        <f>+E17*F17</f>
        <v>137856.32000000001</v>
      </c>
      <c r="H17" s="36"/>
      <c r="I17" s="39" t="s">
        <v>59</v>
      </c>
      <c r="J17" s="19">
        <v>5.2199999999999998E-3</v>
      </c>
      <c r="K17" s="54">
        <f>+J17*K13</f>
        <v>272392.56343152002</v>
      </c>
      <c r="L17" s="237" t="s">
        <v>60</v>
      </c>
      <c r="M17" s="11" t="s">
        <v>61</v>
      </c>
      <c r="N17" s="12">
        <v>1.044E-2</v>
      </c>
      <c r="O17" s="50">
        <f>36435*4</f>
        <v>145740</v>
      </c>
      <c r="P17" s="50"/>
      <c r="Q17" s="173" t="s">
        <v>59</v>
      </c>
      <c r="R17" s="50">
        <f>+R14*J17</f>
        <v>16119.359999999999</v>
      </c>
      <c r="S17" s="50">
        <f>1100+15100</f>
        <v>16200</v>
      </c>
      <c r="T17" s="50">
        <f>15500*2</f>
        <v>31000</v>
      </c>
      <c r="AC17" s="55"/>
      <c r="AE17" s="199" t="s">
        <v>62</v>
      </c>
      <c r="AF17" s="197">
        <v>7586555</v>
      </c>
      <c r="AG17" s="197"/>
      <c r="AH17" s="195">
        <f t="shared" si="1"/>
        <v>7586555</v>
      </c>
    </row>
    <row r="18" spans="1:34" ht="15" customHeight="1">
      <c r="A18" s="230" t="s">
        <v>63</v>
      </c>
      <c r="B18" s="231"/>
      <c r="C18" s="106"/>
      <c r="D18" s="176"/>
      <c r="E18" s="177"/>
      <c r="F18" s="177"/>
      <c r="G18" s="142"/>
      <c r="I18" s="239" t="s">
        <v>64</v>
      </c>
      <c r="J18" s="240"/>
      <c r="K18" s="163">
        <f>+K12-K14-K15-K16</f>
        <v>115584200.76644</v>
      </c>
      <c r="L18" s="238"/>
      <c r="M18" s="11" t="s">
        <v>65</v>
      </c>
      <c r="N18" s="12">
        <v>2.436E-2</v>
      </c>
      <c r="O18" s="50">
        <f>+O17/12</f>
        <v>12145</v>
      </c>
      <c r="P18" s="50"/>
      <c r="Q18" s="173" t="s">
        <v>37</v>
      </c>
      <c r="R18" s="56">
        <f>SUM(R15:R17)</f>
        <v>896199.36</v>
      </c>
      <c r="S18" s="56">
        <f>SUM(S15:S17)</f>
        <v>927300</v>
      </c>
      <c r="T18" s="50"/>
      <c r="AC18" s="134"/>
      <c r="AE18" s="199" t="s">
        <v>66</v>
      </c>
      <c r="AF18" s="197">
        <v>2275971</v>
      </c>
      <c r="AG18" s="197"/>
      <c r="AH18" s="195">
        <f t="shared" si="1"/>
        <v>2275971</v>
      </c>
    </row>
    <row r="19" spans="1:34" ht="15" customHeight="1">
      <c r="A19" s="230" t="s">
        <v>67</v>
      </c>
      <c r="B19" s="231"/>
      <c r="C19" s="106"/>
      <c r="D19" s="176"/>
      <c r="E19" s="178">
        <f>+X14</f>
        <v>51680000</v>
      </c>
      <c r="F19" s="179">
        <v>2.5000000000000001E-2</v>
      </c>
      <c r="G19" s="142">
        <f>+E19*F19</f>
        <v>1292000</v>
      </c>
      <c r="I19" s="241" t="s">
        <v>68</v>
      </c>
      <c r="J19" s="242"/>
      <c r="K19" s="161"/>
      <c r="L19" s="238"/>
      <c r="M19" s="11" t="s">
        <v>69</v>
      </c>
      <c r="N19" s="13">
        <v>4.3499999999999997E-2</v>
      </c>
      <c r="O19" s="50"/>
      <c r="P19" s="50"/>
      <c r="Q19" s="50"/>
      <c r="R19" s="56"/>
      <c r="S19" s="56"/>
      <c r="T19" s="50"/>
      <c r="W19" s="134" t="s">
        <v>70</v>
      </c>
      <c r="X19" s="37">
        <f>+X14</f>
        <v>51680000</v>
      </c>
      <c r="AE19" s="199" t="s">
        <v>71</v>
      </c>
      <c r="AF19" s="197">
        <v>2275971</v>
      </c>
      <c r="AG19" s="197"/>
      <c r="AH19" s="195">
        <f t="shared" si="1"/>
        <v>2275971</v>
      </c>
    </row>
    <row r="20" spans="1:34" ht="15" customHeight="1">
      <c r="A20" s="230" t="s">
        <v>72</v>
      </c>
      <c r="B20" s="231"/>
      <c r="C20" s="106"/>
      <c r="D20" s="176"/>
      <c r="E20" s="177"/>
      <c r="F20" s="177"/>
      <c r="G20" s="142"/>
      <c r="I20" s="212" t="s">
        <v>73</v>
      </c>
      <c r="J20" s="212"/>
      <c r="K20" s="17"/>
      <c r="L20" s="20">
        <f>+K18*40%</f>
        <v>46233680.306576006</v>
      </c>
      <c r="M20" s="11" t="s">
        <v>74</v>
      </c>
      <c r="N20" s="13">
        <v>6.9599999999999995E-2</v>
      </c>
      <c r="O20" s="50"/>
      <c r="P20" s="50"/>
      <c r="Q20" s="50"/>
      <c r="R20" s="57"/>
      <c r="S20" s="57"/>
      <c r="T20" s="57"/>
      <c r="U20" s="58"/>
      <c r="AE20" s="199" t="s">
        <v>75</v>
      </c>
      <c r="AF20" s="197"/>
      <c r="AG20" s="197">
        <v>1146408</v>
      </c>
      <c r="AH20" s="195">
        <f t="shared" si="1"/>
        <v>1146408</v>
      </c>
    </row>
    <row r="21" spans="1:34" ht="15" customHeight="1">
      <c r="A21" s="230" t="s">
        <v>76</v>
      </c>
      <c r="B21" s="231"/>
      <c r="C21" s="106"/>
      <c r="D21" s="176"/>
      <c r="E21" s="177"/>
      <c r="F21" s="177"/>
      <c r="G21" s="142"/>
      <c r="I21" s="216" t="s">
        <v>77</v>
      </c>
      <c r="J21" s="217"/>
      <c r="K21" s="17"/>
      <c r="L21" s="18"/>
      <c r="O21" s="50"/>
      <c r="P21" s="50"/>
      <c r="Q21" s="50"/>
      <c r="R21" s="57"/>
      <c r="S21" s="57"/>
      <c r="T21" s="59"/>
      <c r="U21" s="60"/>
      <c r="V21" s="60"/>
      <c r="W21" s="60"/>
      <c r="X21" s="60"/>
      <c r="Y21" s="61"/>
      <c r="Z21" s="61"/>
      <c r="AA21" s="61"/>
      <c r="AB21" s="61"/>
      <c r="AE21" s="199" t="s">
        <v>78</v>
      </c>
      <c r="AF21" s="197">
        <v>0</v>
      </c>
      <c r="AG21" s="200"/>
      <c r="AH21" s="195">
        <f t="shared" si="1"/>
        <v>0</v>
      </c>
    </row>
    <row r="22" spans="1:34" ht="15" customHeight="1">
      <c r="A22" s="230" t="s">
        <v>79</v>
      </c>
      <c r="B22" s="231"/>
      <c r="C22" s="5">
        <v>243625</v>
      </c>
      <c r="D22" s="193" t="s">
        <v>80</v>
      </c>
      <c r="E22" s="106">
        <f>+AC15</f>
        <v>20829142.539999999</v>
      </c>
      <c r="F22" s="168">
        <v>0.15</v>
      </c>
      <c r="G22" s="142">
        <f>+E22*F22</f>
        <v>3124371.3809999996</v>
      </c>
      <c r="H22" s="41"/>
      <c r="I22" s="10" t="s">
        <v>81</v>
      </c>
      <c r="J22" s="10"/>
      <c r="K22" s="41">
        <v>0</v>
      </c>
      <c r="L22" s="18"/>
      <c r="M22" s="41">
        <v>608064</v>
      </c>
      <c r="N22" s="41">
        <v>41770172</v>
      </c>
      <c r="O22" s="37"/>
      <c r="R22" s="25"/>
      <c r="S22" s="25"/>
      <c r="T22" s="25"/>
      <c r="U22" s="25"/>
      <c r="V22" s="60"/>
      <c r="W22" s="62"/>
      <c r="X22" s="62"/>
      <c r="Y22" s="61"/>
      <c r="Z22" s="61"/>
      <c r="AA22" s="61"/>
      <c r="AB22" s="61"/>
      <c r="AC22" s="44"/>
      <c r="AD22" s="1"/>
      <c r="AE22" s="195" t="s">
        <v>37</v>
      </c>
      <c r="AF22" s="201">
        <f>SUM(AF14:AF21)</f>
        <v>16477152</v>
      </c>
      <c r="AG22" s="201">
        <f t="shared" ref="AG22:AH22" si="5">SUM(AG14:AG21)</f>
        <v>3446408</v>
      </c>
      <c r="AH22" s="201">
        <f t="shared" si="5"/>
        <v>19923560</v>
      </c>
    </row>
    <row r="23" spans="1:34" ht="15" customHeight="1">
      <c r="A23" s="230" t="s">
        <v>82</v>
      </c>
      <c r="B23" s="231"/>
      <c r="C23" s="5">
        <v>243627</v>
      </c>
      <c r="D23" s="180"/>
      <c r="E23" s="106">
        <f>+AC14</f>
        <v>109627066</v>
      </c>
      <c r="F23" s="107">
        <f>8.66/1000</f>
        <v>8.6599999999999993E-3</v>
      </c>
      <c r="G23" s="142">
        <f>+E23*F23</f>
        <v>949370.3915599999</v>
      </c>
      <c r="I23" s="216" t="s">
        <v>83</v>
      </c>
      <c r="J23" s="217"/>
      <c r="K23" s="17"/>
      <c r="L23" s="181"/>
      <c r="M23" s="122"/>
      <c r="N23" s="41">
        <v>29022157.739999998</v>
      </c>
      <c r="O23" s="41">
        <f>+N23/2</f>
        <v>14511078.869999999</v>
      </c>
      <c r="R23" s="25"/>
      <c r="S23" s="25"/>
      <c r="T23" s="25"/>
      <c r="U23" s="25"/>
      <c r="V23" s="63"/>
      <c r="W23" s="63">
        <f>+E23*0.19</f>
        <v>20829142.539999999</v>
      </c>
      <c r="X23" s="63"/>
      <c r="Y23" s="61"/>
      <c r="Z23" s="61"/>
      <c r="AA23" s="61"/>
      <c r="AB23" s="61"/>
    </row>
    <row r="24" spans="1:34" ht="15" customHeight="1">
      <c r="A24" s="230" t="s">
        <v>84</v>
      </c>
      <c r="B24" s="231"/>
      <c r="C24" s="5"/>
      <c r="D24" s="180"/>
      <c r="E24" s="106"/>
      <c r="F24" s="107"/>
      <c r="G24" s="142"/>
      <c r="I24" s="218" t="s">
        <v>85</v>
      </c>
      <c r="J24" s="219"/>
      <c r="K24" s="64">
        <f>+K18-K22-K23-K19</f>
        <v>115584200.76644</v>
      </c>
      <c r="L24" s="134">
        <f>+K18*0.15</f>
        <v>17337630.114966001</v>
      </c>
      <c r="M24" s="182"/>
      <c r="N24" s="41">
        <v>1880200</v>
      </c>
      <c r="O24" s="41"/>
      <c r="T24" s="25"/>
      <c r="U24" s="25"/>
      <c r="V24" s="63"/>
      <c r="W24" s="63"/>
      <c r="X24" s="63"/>
      <c r="Y24" s="61"/>
      <c r="Z24" s="61"/>
      <c r="AA24" s="61"/>
      <c r="AB24" s="61"/>
    </row>
    <row r="25" spans="1:34" ht="15" customHeight="1">
      <c r="A25" s="230" t="s">
        <v>86</v>
      </c>
      <c r="B25" s="231"/>
      <c r="C25" s="8"/>
      <c r="D25" s="9"/>
      <c r="E25" s="89"/>
      <c r="F25" s="89"/>
      <c r="G25" s="78"/>
      <c r="I25" s="27" t="s">
        <v>87</v>
      </c>
      <c r="J25" s="65"/>
      <c r="K25" s="66">
        <f>+ROUND(K24*25%,-3)</f>
        <v>28896000</v>
      </c>
      <c r="L25" s="37"/>
      <c r="M25" s="183">
        <f>J7*10%</f>
        <v>13045620.854000002</v>
      </c>
      <c r="N25" s="37">
        <f>N24/12</f>
        <v>156683.33333333334</v>
      </c>
      <c r="O25" s="37"/>
      <c r="T25" s="26"/>
      <c r="U25" s="25"/>
      <c r="V25" s="63"/>
      <c r="W25" s="63"/>
      <c r="X25" s="63"/>
      <c r="Y25" s="61"/>
      <c r="Z25" s="61"/>
      <c r="AA25" s="61"/>
      <c r="AB25" s="61"/>
    </row>
    <row r="26" spans="1:34" ht="15" customHeight="1">
      <c r="A26" s="230" t="s">
        <v>88</v>
      </c>
      <c r="B26" s="231"/>
      <c r="C26" s="8"/>
      <c r="D26" s="9"/>
      <c r="E26" s="89"/>
      <c r="F26" s="89"/>
      <c r="G26" s="78"/>
      <c r="I26" s="220" t="s">
        <v>89</v>
      </c>
      <c r="J26" s="221"/>
      <c r="K26" s="164">
        <f>+K24-K25</f>
        <v>86688200.766440004</v>
      </c>
      <c r="L26" s="134"/>
      <c r="M26" s="67"/>
      <c r="N26" s="37"/>
      <c r="O26" s="37">
        <v>2796496.72</v>
      </c>
      <c r="V26" s="63"/>
      <c r="W26" s="68"/>
      <c r="X26" s="68"/>
      <c r="Y26" s="61"/>
      <c r="Z26" s="61"/>
      <c r="AA26" s="61"/>
      <c r="AB26" s="61"/>
    </row>
    <row r="27" spans="1:34" ht="15" customHeight="1" thickBot="1">
      <c r="A27" s="226"/>
      <c r="B27" s="227"/>
      <c r="C27" s="151"/>
      <c r="D27" s="152"/>
      <c r="E27" s="153"/>
      <c r="F27" s="153"/>
      <c r="G27" s="154"/>
      <c r="I27" s="251" t="s">
        <v>90</v>
      </c>
      <c r="J27" s="252"/>
      <c r="K27" s="21">
        <f>+K19+K20+K21+K22+K23+K25</f>
        <v>28896000</v>
      </c>
      <c r="L27" s="134"/>
      <c r="M27" s="67"/>
      <c r="N27" s="37"/>
      <c r="O27" s="37">
        <f>+O26/12</f>
        <v>233041.39333333334</v>
      </c>
    </row>
    <row r="28" spans="1:34" ht="15" customHeight="1">
      <c r="A28" s="228" t="s">
        <v>91</v>
      </c>
      <c r="B28" s="228"/>
      <c r="C28" s="148"/>
      <c r="D28" s="148"/>
      <c r="E28" s="149"/>
      <c r="F28" s="150"/>
      <c r="G28" s="159">
        <f>SUM(G16:G25)</f>
        <v>7316084.8125599995</v>
      </c>
      <c r="L28" s="134"/>
      <c r="M28" s="37"/>
      <c r="N28" s="37"/>
      <c r="O28" s="37"/>
      <c r="R28" s="45"/>
      <c r="S28" s="45"/>
    </row>
    <row r="29" spans="1:34" s="4" customFormat="1" ht="15" customHeight="1" thickBot="1">
      <c r="A29" s="229" t="s">
        <v>92</v>
      </c>
      <c r="B29" s="229"/>
      <c r="C29" s="108">
        <v>240102</v>
      </c>
      <c r="D29" s="108"/>
      <c r="E29" s="109"/>
      <c r="F29" s="110"/>
      <c r="G29" s="160">
        <f>G15-G28</f>
        <v>123140123.72744</v>
      </c>
      <c r="I29" s="253" t="s">
        <v>93</v>
      </c>
      <c r="J29" s="253"/>
      <c r="K29" s="22">
        <f>IF(K27&gt;L20,+K18-L20,+K26)</f>
        <v>86688200.766440004</v>
      </c>
      <c r="L29" s="134"/>
      <c r="M29" s="37"/>
      <c r="N29" s="25"/>
      <c r="O29" s="45"/>
      <c r="P29" s="45"/>
      <c r="Q29" s="45"/>
      <c r="R29" s="37"/>
      <c r="S29" s="37"/>
      <c r="T29" s="37"/>
      <c r="U29" s="37"/>
      <c r="V29" s="45"/>
      <c r="W29" s="45"/>
      <c r="X29" s="45"/>
      <c r="Y29" s="45"/>
      <c r="Z29" s="45"/>
      <c r="AA29" s="45"/>
      <c r="AB29" s="45"/>
      <c r="AC29" s="45"/>
    </row>
    <row r="30" spans="1:34">
      <c r="A30" s="111"/>
      <c r="B30" s="112"/>
      <c r="C30" s="1" t="s">
        <v>94</v>
      </c>
      <c r="D30" s="1"/>
      <c r="E30" s="112"/>
      <c r="F30" s="113"/>
      <c r="G30" s="114" t="s">
        <v>94</v>
      </c>
      <c r="I30" s="14" t="s">
        <v>95</v>
      </c>
      <c r="J30" s="14" t="s">
        <v>96</v>
      </c>
      <c r="K30" s="14" t="s">
        <v>97</v>
      </c>
      <c r="L30" s="37"/>
      <c r="M30" s="69"/>
      <c r="N30" s="25"/>
      <c r="O30" s="37"/>
    </row>
    <row r="31" spans="1:34">
      <c r="A31" s="111"/>
      <c r="B31" s="112"/>
      <c r="C31" s="1"/>
      <c r="D31" s="1"/>
      <c r="E31" s="112"/>
      <c r="F31" s="113"/>
      <c r="G31" s="115"/>
      <c r="I31" s="184">
        <v>42412</v>
      </c>
      <c r="J31" s="184">
        <v>1160000</v>
      </c>
      <c r="K31" s="185">
        <f>+K29/I31</f>
        <v>2043.9545592388947</v>
      </c>
      <c r="L31" s="213" t="s">
        <v>98</v>
      </c>
      <c r="M31" s="213"/>
    </row>
    <row r="32" spans="1:34">
      <c r="A32" s="111"/>
      <c r="B32" s="112"/>
      <c r="C32" s="1"/>
      <c r="D32" s="1"/>
      <c r="E32" s="112"/>
      <c r="F32" s="113"/>
      <c r="G32" s="115"/>
      <c r="L32" s="38" t="s">
        <v>99</v>
      </c>
      <c r="M32" s="40" t="s">
        <v>100</v>
      </c>
    </row>
    <row r="33" spans="1:29" ht="15.75">
      <c r="A33" s="116"/>
      <c r="B33" s="117"/>
      <c r="C33" s="1"/>
      <c r="D33" s="1"/>
      <c r="E33" s="203" t="s">
        <v>101</v>
      </c>
      <c r="F33" s="190"/>
      <c r="G33" s="191"/>
      <c r="I33" s="214" t="s">
        <v>102</v>
      </c>
      <c r="J33" s="215"/>
      <c r="K33" s="30" t="s">
        <v>44</v>
      </c>
      <c r="L33" s="186">
        <f t="shared" ref="L33:M35" si="6">+I35*$I$31</f>
        <v>0</v>
      </c>
      <c r="M33" s="186">
        <f t="shared" si="6"/>
        <v>4029140</v>
      </c>
    </row>
    <row r="34" spans="1:29">
      <c r="A34" s="73" t="s">
        <v>103</v>
      </c>
      <c r="B34" s="112"/>
      <c r="C34" s="1"/>
      <c r="D34" s="1"/>
      <c r="E34" s="204" t="s">
        <v>104</v>
      </c>
      <c r="F34" s="192"/>
      <c r="G34" s="202"/>
      <c r="I34" s="38" t="s">
        <v>99</v>
      </c>
      <c r="J34" s="40" t="s">
        <v>100</v>
      </c>
      <c r="K34" s="30"/>
      <c r="L34" s="186">
        <f t="shared" si="6"/>
        <v>4029140</v>
      </c>
      <c r="M34" s="186">
        <f t="shared" si="6"/>
        <v>6361800</v>
      </c>
      <c r="N34" s="7" t="s">
        <v>105</v>
      </c>
    </row>
    <row r="35" spans="1:29">
      <c r="A35" s="73" t="s">
        <v>106</v>
      </c>
      <c r="B35" s="4"/>
      <c r="C35" s="1"/>
      <c r="D35" s="1"/>
      <c r="E35" s="4" t="s">
        <v>107</v>
      </c>
      <c r="F35" s="194"/>
      <c r="G35" s="205"/>
      <c r="I35" s="28">
        <v>0</v>
      </c>
      <c r="J35" s="29">
        <v>95</v>
      </c>
      <c r="K35" s="31">
        <v>0</v>
      </c>
      <c r="L35" s="186">
        <f t="shared" si="6"/>
        <v>6361800</v>
      </c>
      <c r="M35" s="186">
        <f t="shared" si="6"/>
        <v>15268320</v>
      </c>
      <c r="N35" s="7" t="s">
        <v>108</v>
      </c>
    </row>
    <row r="36" spans="1:29" ht="20.25" customHeight="1">
      <c r="A36" s="73"/>
      <c r="B36" s="4"/>
      <c r="C36" s="1"/>
      <c r="D36" s="1"/>
      <c r="E36" s="4"/>
      <c r="F36" s="112"/>
      <c r="G36" s="119"/>
      <c r="I36" s="29">
        <v>95</v>
      </c>
      <c r="J36" s="29">
        <v>150</v>
      </c>
      <c r="K36" s="31">
        <v>0.19</v>
      </c>
      <c r="L36" s="186">
        <f>+I38*$I$31</f>
        <v>15268320</v>
      </c>
      <c r="M36" s="70" t="s">
        <v>109</v>
      </c>
      <c r="N36" s="7" t="s">
        <v>110</v>
      </c>
    </row>
    <row r="37" spans="1:29" ht="26.25" customHeight="1">
      <c r="A37" s="111" t="s">
        <v>111</v>
      </c>
      <c r="B37" s="112" t="s">
        <v>112</v>
      </c>
      <c r="C37" s="1"/>
      <c r="D37" s="1"/>
      <c r="E37" s="112"/>
      <c r="F37" s="113"/>
      <c r="G37" s="115"/>
      <c r="I37" s="29">
        <v>150</v>
      </c>
      <c r="J37" s="29">
        <v>360</v>
      </c>
      <c r="K37" s="31">
        <v>0.28000000000000003</v>
      </c>
      <c r="M37" s="170" t="s">
        <v>113</v>
      </c>
      <c r="N37" s="80" t="s">
        <v>40</v>
      </c>
      <c r="O37" s="187" t="s">
        <v>114</v>
      </c>
      <c r="P37" s="188" t="s">
        <v>115</v>
      </c>
    </row>
    <row r="38" spans="1:29" ht="15" customHeight="1">
      <c r="A38" s="111" t="s">
        <v>116</v>
      </c>
      <c r="B38" s="112" t="s">
        <v>112</v>
      </c>
      <c r="C38" s="1"/>
      <c r="D38" s="1"/>
      <c r="E38" s="112"/>
      <c r="F38" s="113"/>
      <c r="G38" s="115"/>
      <c r="I38" s="29">
        <v>360</v>
      </c>
      <c r="J38" s="29">
        <v>640</v>
      </c>
      <c r="K38" s="31">
        <v>0.33</v>
      </c>
      <c r="M38" s="170" t="s">
        <v>46</v>
      </c>
      <c r="N38" s="24">
        <f>+K14</f>
        <v>6522810.4270000011</v>
      </c>
      <c r="O38" s="32">
        <v>22000</v>
      </c>
      <c r="P38" s="81">
        <f>+N38-O38</f>
        <v>6500810.4270000011</v>
      </c>
    </row>
    <row r="39" spans="1:29">
      <c r="A39" s="111"/>
      <c r="B39" s="112"/>
      <c r="C39" s="1"/>
      <c r="D39" s="112"/>
      <c r="E39" s="112"/>
      <c r="F39" s="112"/>
      <c r="G39" s="189"/>
      <c r="I39" s="29">
        <v>640</v>
      </c>
      <c r="J39" s="29">
        <v>945</v>
      </c>
      <c r="K39" s="31">
        <v>0.35</v>
      </c>
      <c r="M39" s="170" t="s">
        <v>117</v>
      </c>
      <c r="N39" s="24">
        <f>+K15</f>
        <v>8349197.3465600014</v>
      </c>
      <c r="O39" s="32">
        <v>28100</v>
      </c>
      <c r="P39" s="81">
        <f>+N39-O39</f>
        <v>8321097.3465600014</v>
      </c>
    </row>
    <row r="40" spans="1:29">
      <c r="A40" s="222" t="s">
        <v>118</v>
      </c>
      <c r="B40" s="223"/>
      <c r="C40" s="223"/>
      <c r="D40" s="223"/>
      <c r="E40" s="223"/>
      <c r="F40" s="223"/>
      <c r="G40" s="224"/>
      <c r="I40" s="29">
        <v>945</v>
      </c>
      <c r="J40" s="29">
        <v>2300</v>
      </c>
      <c r="K40" s="31">
        <v>0.37</v>
      </c>
      <c r="M40" s="170"/>
      <c r="N40" s="54"/>
      <c r="O40" s="32"/>
      <c r="P40" s="81">
        <f>+N40-O40</f>
        <v>0</v>
      </c>
    </row>
    <row r="41" spans="1:29" ht="16.5" customHeight="1">
      <c r="A41" s="225"/>
      <c r="B41" s="223"/>
      <c r="C41" s="223"/>
      <c r="D41" s="223"/>
      <c r="E41" s="223"/>
      <c r="F41" s="223"/>
      <c r="G41" s="224"/>
      <c r="I41" s="29">
        <v>2300</v>
      </c>
      <c r="J41" s="29" t="s">
        <v>119</v>
      </c>
      <c r="K41" s="31">
        <v>0.39</v>
      </c>
      <c r="M41" s="235" t="s">
        <v>120</v>
      </c>
      <c r="N41" s="236"/>
      <c r="O41" s="236"/>
      <c r="P41" s="81">
        <f>SUM(P38:P40)</f>
        <v>14821907.773560002</v>
      </c>
    </row>
    <row r="42" spans="1:29" ht="50.25" customHeight="1">
      <c r="A42" s="206" t="s">
        <v>121</v>
      </c>
      <c r="B42" s="207"/>
      <c r="C42" s="207"/>
      <c r="D42" s="207"/>
      <c r="E42" s="207"/>
      <c r="F42" s="207"/>
      <c r="G42" s="208"/>
      <c r="I42" s="120"/>
      <c r="J42" s="120"/>
      <c r="K42" s="121"/>
      <c r="M42" s="118"/>
      <c r="N42" s="122"/>
      <c r="O42" s="122"/>
    </row>
    <row r="43" spans="1:29" ht="16.5" customHeight="1">
      <c r="A43" s="125"/>
      <c r="B43" s="126"/>
      <c r="C43" s="127"/>
      <c r="D43" s="127"/>
      <c r="E43" s="128"/>
      <c r="F43" s="129"/>
      <c r="G43" s="130"/>
      <c r="M43" s="41"/>
    </row>
    <row r="44" spans="1:29" ht="15">
      <c r="A44" s="131"/>
      <c r="B44" s="123"/>
      <c r="C44" s="132"/>
      <c r="D44" s="132"/>
      <c r="E44" s="123"/>
      <c r="F44" s="133"/>
      <c r="G44" s="124"/>
      <c r="M44" s="41"/>
    </row>
    <row r="45" spans="1:29" ht="26.25">
      <c r="A45" s="74" t="s">
        <v>122</v>
      </c>
      <c r="B45" s="90"/>
      <c r="C45" s="134"/>
      <c r="D45" s="45"/>
      <c r="E45" s="98"/>
      <c r="F45" s="98"/>
      <c r="G45" s="135"/>
      <c r="K45" s="85" t="s">
        <v>123</v>
      </c>
      <c r="L45" s="86" t="s">
        <v>124</v>
      </c>
      <c r="M45" s="87" t="s">
        <v>125</v>
      </c>
      <c r="N45" s="85" t="s">
        <v>115</v>
      </c>
      <c r="O45" s="37"/>
      <c r="AC45"/>
    </row>
    <row r="46" spans="1:29" ht="15">
      <c r="A46" s="136" t="s">
        <v>126</v>
      </c>
      <c r="B46" s="137"/>
      <c r="C46" s="134"/>
      <c r="D46" s="134"/>
      <c r="E46" s="98"/>
      <c r="F46" s="98"/>
      <c r="G46" s="135"/>
      <c r="K46" s="170" t="s">
        <v>127</v>
      </c>
      <c r="L46" s="82">
        <v>5456.64</v>
      </c>
      <c r="M46" s="32">
        <v>3000</v>
      </c>
      <c r="N46" s="83">
        <f>+L46-M46</f>
        <v>2456.6400000000003</v>
      </c>
      <c r="O46" s="37"/>
      <c r="AC46"/>
    </row>
    <row r="47" spans="1:29" ht="15">
      <c r="A47" s="136" t="s">
        <v>128</v>
      </c>
      <c r="B47" s="137"/>
      <c r="C47" s="134"/>
      <c r="D47" s="134"/>
      <c r="E47" s="98"/>
      <c r="F47" s="98"/>
      <c r="G47" s="135"/>
      <c r="K47" s="170" t="s">
        <v>129</v>
      </c>
      <c r="L47" s="82">
        <v>40925</v>
      </c>
      <c r="M47" s="32">
        <v>8800</v>
      </c>
      <c r="N47" s="83">
        <f>+L47-M47</f>
        <v>32125</v>
      </c>
      <c r="O47" s="37"/>
      <c r="AC47"/>
    </row>
    <row r="48" spans="1:29" ht="13.5" customHeight="1">
      <c r="A48" s="136" t="s">
        <v>130</v>
      </c>
      <c r="B48" s="137"/>
      <c r="C48" s="134"/>
      <c r="D48" s="134"/>
      <c r="E48" s="98"/>
      <c r="F48" s="98"/>
      <c r="G48" s="99"/>
      <c r="K48" s="209" t="s">
        <v>131</v>
      </c>
      <c r="L48" s="210"/>
      <c r="M48" s="211"/>
      <c r="N48" s="84">
        <f>SUM(N46:N47)</f>
        <v>34581.64</v>
      </c>
    </row>
    <row r="49" spans="1:13" ht="15">
      <c r="A49" s="138" t="s">
        <v>132</v>
      </c>
      <c r="B49" s="139"/>
      <c r="C49" s="140"/>
      <c r="D49" s="140">
        <f>+D46+D47</f>
        <v>0</v>
      </c>
      <c r="E49" s="123"/>
      <c r="F49" s="123"/>
      <c r="G49" s="141"/>
      <c r="M49" s="41"/>
    </row>
    <row r="50" spans="1:13">
      <c r="M50" s="41"/>
    </row>
    <row r="51" spans="1:13">
      <c r="G51" s="6"/>
      <c r="M51" s="79"/>
    </row>
    <row r="52" spans="1:13" ht="47.25" customHeight="1">
      <c r="G52" s="6"/>
      <c r="M52" s="41"/>
    </row>
    <row r="53" spans="1:13">
      <c r="G53" s="6"/>
    </row>
  </sheetData>
  <mergeCells count="47">
    <mergeCell ref="AE12:AH12"/>
    <mergeCell ref="A7:G7"/>
    <mergeCell ref="F12:G12"/>
    <mergeCell ref="B9:E9"/>
    <mergeCell ref="B12:D12"/>
    <mergeCell ref="A15:B15"/>
    <mergeCell ref="A8:G8"/>
    <mergeCell ref="B10:E10"/>
    <mergeCell ref="B13:C13"/>
    <mergeCell ref="F13:G13"/>
    <mergeCell ref="A1:B4"/>
    <mergeCell ref="C1:F4"/>
    <mergeCell ref="G1:G4"/>
    <mergeCell ref="I27:J27"/>
    <mergeCell ref="I29:J29"/>
    <mergeCell ref="I12:J12"/>
    <mergeCell ref="A14:B1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M14:N14"/>
    <mergeCell ref="I15:I16"/>
    <mergeCell ref="M41:O41"/>
    <mergeCell ref="L17:L19"/>
    <mergeCell ref="I18:J18"/>
    <mergeCell ref="I19:J19"/>
    <mergeCell ref="A42:G42"/>
    <mergeCell ref="K48:M48"/>
    <mergeCell ref="I20:J20"/>
    <mergeCell ref="L31:M31"/>
    <mergeCell ref="I33:J33"/>
    <mergeCell ref="I21:J21"/>
    <mergeCell ref="I23:J23"/>
    <mergeCell ref="I24:J24"/>
    <mergeCell ref="I26:J26"/>
    <mergeCell ref="A40:G41"/>
    <mergeCell ref="A27:B27"/>
    <mergeCell ref="A28:B28"/>
    <mergeCell ref="A29:B29"/>
    <mergeCell ref="A26:B26"/>
    <mergeCell ref="A25:B25"/>
  </mergeCells>
  <conditionalFormatting sqref="K36:K42">
    <cfRule type="cellIs" dxfId="0" priority="1" operator="equal">
      <formula>$D$25</formula>
    </cfRule>
  </conditionalFormatting>
  <dataValidations count="4">
    <dataValidation type="list" allowBlank="1" showInputMessage="1" showErrorMessage="1" sqref="J17" xr:uid="{00000000-0002-0000-0000-000000000000}">
      <formula1>$N$16:$N$20</formula1>
    </dataValidation>
    <dataValidation type="custom" allowBlank="1" showInputMessage="1" showErrorMessage="1" errorTitle="ERROR INTERESES DE VIVIENDA" error="LOS INTERESES DE VIVIENDA NO PUEDEN EXEDER 100 UVT : $ 2.684.100" sqref="K23:K24" xr:uid="{00000000-0002-0000-0000-000001000000}">
      <formula1>K23&lt;100*N1</formula1>
    </dataValidation>
    <dataValidation type="custom" allowBlank="1" showInputMessage="1" showErrorMessage="1" errorTitle="ERROR APORTES OBLIGATORIOS Y VOL" error="LOS APORTES OBLIGATORIOS Y VOLUNTARIOS NO DEBEN EXEDER EL 30% DE LOS INGRESOS BRUTOS" sqref="K21" xr:uid="{00000000-0002-0000-0000-000002000000}">
      <formula1>SUM(K14:K21)&lt;=(#REF!*0.3)</formula1>
    </dataValidation>
    <dataValidation type="custom" allowBlank="1" showInputMessage="1" showErrorMessage="1" errorTitle="ERROR APORTES OBLIGATORIOS Y VOL" error="LOS APORTES OBLIGATORIOS Y VOLUNTARIOS NO DEBEN EXEDER EL 30% DE LOS INGRESOS BRUTOS" sqref="K20" xr:uid="{00000000-0002-0000-0000-000003000000}">
      <formula1>SUM(K14:K21)&lt;=(#REF!*0.3)</formula1>
    </dataValidation>
  </dataValidations>
  <pageMargins left="0.7" right="0.7" top="0.75" bottom="0.75" header="0.3" footer="0.3"/>
  <pageSetup scale="71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795" r:id="rId5" name="Check Box 163">
              <controlPr defaultSize="0" autoFill="0" autoLine="0" autoPict="0">
                <anchor moveWithCells="1">
                  <from>
                    <xdr:col>11</xdr:col>
                    <xdr:colOff>304800</xdr:colOff>
                    <xdr:row>7</xdr:row>
                    <xdr:rowOff>19050</xdr:rowOff>
                  </from>
                  <to>
                    <xdr:col>22</xdr:col>
                    <xdr:colOff>152400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8" ma:contentTypeDescription="Crear nuevo documento." ma:contentTypeScope="" ma:versionID="0f41b608370f3a4e72440009a6789751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e4133043f81bd02c6d77e746184172e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Props1.xml><?xml version="1.0" encoding="utf-8"?>
<ds:datastoreItem xmlns:ds="http://schemas.openxmlformats.org/officeDocument/2006/customXml" ds:itemID="{AAFF09F6-3776-4E85-908D-7822F8870140}"/>
</file>

<file path=customXml/itemProps2.xml><?xml version="1.0" encoding="utf-8"?>
<ds:datastoreItem xmlns:ds="http://schemas.openxmlformats.org/officeDocument/2006/customXml" ds:itemID="{174E4002-03A8-4E06-96CC-4CB7994404C6}"/>
</file>

<file path=customXml/itemProps3.xml><?xml version="1.0" encoding="utf-8"?>
<ds:datastoreItem xmlns:ds="http://schemas.openxmlformats.org/officeDocument/2006/customXml" ds:itemID="{4E8DFB58-B5A0-4DD1-8FB4-4DBDF831D2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chapinero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rosa.granados</dc:creator>
  <cp:keywords/>
  <dc:description/>
  <cp:lastModifiedBy>Richard Bello Roncancio</cp:lastModifiedBy>
  <cp:revision/>
  <dcterms:created xsi:type="dcterms:W3CDTF">2013-04-19T14:58:15Z</dcterms:created>
  <dcterms:modified xsi:type="dcterms:W3CDTF">2023-11-21T21:29:51Z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