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 tabRatio="702"/>
  </bookViews>
  <sheets>
    <sheet name="Presupuesto" sheetId="3" r:id="rId1"/>
    <sheet name="Cronograma ded" sheetId="13" r:id="rId2"/>
    <sheet name="Dedicación" sheetId="9" r:id="rId3"/>
    <sheet name="Salarios CCI" sheetId="11" r:id="rId4"/>
    <sheet name="Categorias est " sheetId="12" r:id="rId5"/>
    <sheet name="Comparativo ensayos (Anexo 1)" sheetId="2" r:id="rId6"/>
    <sheet name="IndicesIPC" sheetId="10" r:id="rId7"/>
    <sheet name="Factor multiplicador (Anexo 2)" sheetId="6" r:id="rId8"/>
    <sheet name="Ensayos mínimos requeridos (A3)" sheetId="7" r:id="rId9"/>
  </sheets>
  <externalReferences>
    <externalReference r:id="rId10"/>
    <externalReference r:id="rId11"/>
  </externalReferences>
  <definedNames>
    <definedName name="CATÉGORIAS_ADMON_NO_FACTURABLE">'[1]BASE DE PRECIOS'!$C$3:$C$16</definedName>
    <definedName name="CATÉGORIAS_PROFESIONALES">'[1]BASE DE PRECIOS'!$C$3:$C$11</definedName>
    <definedName name="CdadNoFactura" localSheetId="0">Presupuesto!$B$152:$B$166</definedName>
    <definedName name="CdadNoFactura">#REF!</definedName>
    <definedName name="CdadProfesional" localSheetId="0">Presupuesto!$B$49:$B$104</definedName>
    <definedName name="CdadProfesional">#REF!</definedName>
    <definedName name="DuracionMeses" localSheetId="0">Presupuesto!$B$10</definedName>
    <definedName name="DuracionMeses">#REF!</definedName>
    <definedName name="EQUIPOS_VEHICULOS_OTROS">'[1]BASE DE PRECIOS'!$B$109:$B$114</definedName>
    <definedName name="GASTOS_OFICINA_PRINCIPAL">'[1]BASE DE PRECIOS'!$B$98:$B$107</definedName>
    <definedName name="LISTAUSUARIOS">'[1]LISTA DE USUARIOS'!$A$2:$A$23</definedName>
    <definedName name="MODALIDAD">'[1]LISTAS DESPLEGABLES'!$F$15:$F$16</definedName>
    <definedName name="PERSONAL_ADMON">'[1]BASE DE PRECIOS'!$B$82:$B$93</definedName>
    <definedName name="PROFESIONALES">'[1]BASE DE PRECIOS'!$B$34:$B$69</definedName>
    <definedName name="TÉCNICOS">'[1]BASE DE PRECIOS'!$B$71:$B$80</definedName>
    <definedName name="TIPO_DE_CTO">'[1]LISTAS DESPLEGABLES'!$F$2:$F$5</definedName>
    <definedName name="TIPO_PERSONA">'[1]LISTAS DESPLEGABLES'!$F$20:$F$21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0" i="3" l="1"/>
  <c r="F26" i="9" l="1"/>
  <c r="F24" i="9"/>
  <c r="F25" i="9"/>
  <c r="F23" i="9"/>
  <c r="F39" i="9"/>
  <c r="H39" i="9" s="1"/>
  <c r="J39" i="9" s="1"/>
  <c r="F38" i="9"/>
  <c r="H38" i="9" s="1"/>
  <c r="J38" i="9" s="1"/>
  <c r="F37" i="9"/>
  <c r="H37" i="9" s="1"/>
  <c r="J37" i="9" s="1"/>
  <c r="F36" i="9"/>
  <c r="H36" i="9" s="1"/>
  <c r="J36" i="9" s="1"/>
  <c r="F35" i="9"/>
  <c r="H35" i="9" s="1"/>
  <c r="J35" i="9" s="1"/>
  <c r="F34" i="9"/>
  <c r="H34" i="9" s="1"/>
  <c r="J34" i="9" s="1"/>
  <c r="F17" i="9"/>
  <c r="F16" i="9"/>
  <c r="F15" i="9"/>
  <c r="F14" i="9"/>
  <c r="F13" i="9"/>
  <c r="F12" i="9"/>
  <c r="CO21" i="13"/>
  <c r="CO22" i="13"/>
  <c r="CO23" i="13"/>
  <c r="CO24" i="13"/>
  <c r="F2" i="11" l="1"/>
  <c r="E7" i="11" s="1"/>
  <c r="E10" i="11" l="1"/>
  <c r="E3" i="11"/>
  <c r="E4" i="11"/>
  <c r="E8" i="11"/>
  <c r="E9" i="11"/>
  <c r="E5" i="11"/>
  <c r="E6" i="11"/>
  <c r="AA12" i="2" l="1"/>
  <c r="AA6" i="2"/>
  <c r="W20" i="10" l="1"/>
  <c r="K21" i="3"/>
  <c r="H12" i="3"/>
  <c r="K12" i="3"/>
  <c r="K13" i="3"/>
  <c r="K14" i="3"/>
  <c r="K15" i="3"/>
  <c r="H23" i="9"/>
  <c r="J23" i="9" s="1"/>
  <c r="I7" i="9"/>
  <c r="L12" i="3" l="1"/>
  <c r="H21" i="3"/>
  <c r="L21" i="3" s="1"/>
  <c r="H28" i="9"/>
  <c r="J28" i="9" s="1"/>
  <c r="H27" i="9"/>
  <c r="J27" i="9" s="1"/>
  <c r="H26" i="9"/>
  <c r="J26" i="9" s="1"/>
  <c r="H25" i="9"/>
  <c r="J25" i="9" s="1"/>
  <c r="H24" i="9"/>
  <c r="J24" i="9" s="1"/>
  <c r="W19" i="10" l="1"/>
  <c r="E3" i="9" l="1"/>
  <c r="H17" i="9"/>
  <c r="J17" i="9" s="1"/>
  <c r="K17" i="9" s="1"/>
  <c r="H12" i="9"/>
  <c r="J12" i="9" s="1"/>
  <c r="K12" i="9" s="1"/>
  <c r="H16" i="9"/>
  <c r="J16" i="9" s="1"/>
  <c r="H15" i="9"/>
  <c r="J15" i="9" s="1"/>
  <c r="H14" i="9"/>
  <c r="J14" i="9" s="1"/>
  <c r="K14" i="9" s="1"/>
  <c r="H13" i="9"/>
  <c r="J13" i="9" s="1"/>
  <c r="K13" i="9" s="1"/>
  <c r="E26" i="9" l="1"/>
  <c r="E14" i="9"/>
  <c r="E12" i="9"/>
  <c r="E25" i="9"/>
  <c r="E13" i="9"/>
  <c r="E24" i="9"/>
  <c r="E16" i="9"/>
  <c r="E23" i="9"/>
  <c r="E15" i="9"/>
  <c r="K36" i="9"/>
  <c r="K34" i="9"/>
  <c r="K40" i="9" s="1"/>
  <c r="K37" i="9"/>
  <c r="K39" i="9"/>
  <c r="K35" i="9"/>
  <c r="K38" i="9"/>
  <c r="K15" i="9"/>
  <c r="K16" i="9"/>
  <c r="E17" i="9"/>
  <c r="K24" i="9"/>
  <c r="K26" i="9"/>
  <c r="K27" i="9"/>
  <c r="K23" i="9"/>
  <c r="K28" i="9"/>
  <c r="K25" i="9"/>
  <c r="C17" i="6"/>
  <c r="F16" i="6" s="1"/>
  <c r="K25" i="3"/>
  <c r="H25" i="3"/>
  <c r="N39" i="3"/>
  <c r="N41" i="3" s="1"/>
  <c r="E35" i="9" l="1"/>
  <c r="E39" i="9"/>
  <c r="E34" i="9"/>
  <c r="E37" i="9"/>
  <c r="E36" i="9"/>
  <c r="E38" i="9"/>
  <c r="M25" i="3"/>
  <c r="M15" i="3"/>
  <c r="M21" i="3"/>
  <c r="N21" i="3" s="1"/>
  <c r="M14" i="3"/>
  <c r="M20" i="3"/>
  <c r="M13" i="3"/>
  <c r="M19" i="3"/>
  <c r="M12" i="3"/>
  <c r="N12" i="3" s="1"/>
  <c r="K18" i="9"/>
  <c r="K29" i="9"/>
  <c r="E27" i="9"/>
  <c r="E28" i="9"/>
  <c r="L25" i="3"/>
  <c r="K19" i="3"/>
  <c r="K20" i="3"/>
  <c r="AA23" i="2"/>
  <c r="AB23" i="2" s="1"/>
  <c r="AA22" i="2"/>
  <c r="AB22" i="2" s="1"/>
  <c r="AA18" i="2"/>
  <c r="AB18" i="2" s="1"/>
  <c r="AA19" i="2"/>
  <c r="AB19" i="2" s="1"/>
  <c r="AA20" i="2"/>
  <c r="AB20" i="2" s="1"/>
  <c r="AA21" i="2"/>
  <c r="AB21" i="2" s="1"/>
  <c r="AA17" i="2"/>
  <c r="AB17" i="2" s="1"/>
  <c r="AA16" i="2"/>
  <c r="AB16" i="2" s="1"/>
  <c r="AA14" i="2"/>
  <c r="AB14" i="2" s="1"/>
  <c r="AB6" i="2"/>
  <c r="AA7" i="2"/>
  <c r="AB7" i="2" s="1"/>
  <c r="AA8" i="2"/>
  <c r="AB8" i="2" s="1"/>
  <c r="AA9" i="2"/>
  <c r="AB9" i="2" s="1"/>
  <c r="AA10" i="2"/>
  <c r="AB10" i="2" s="1"/>
  <c r="AA11" i="2"/>
  <c r="AB11" i="2" s="1"/>
  <c r="AB12" i="2"/>
  <c r="AA13" i="2"/>
  <c r="AB13" i="2" s="1"/>
  <c r="AA15" i="2"/>
  <c r="AB15" i="2" s="1"/>
  <c r="AA5" i="2"/>
  <c r="AB5" i="2" s="1"/>
  <c r="U21" i="2"/>
  <c r="U20" i="2"/>
  <c r="U19" i="2"/>
  <c r="U18" i="2"/>
  <c r="U17" i="2"/>
  <c r="U14" i="2"/>
  <c r="U6" i="2"/>
  <c r="G21" i="2"/>
  <c r="G20" i="2"/>
  <c r="G19" i="2"/>
  <c r="G18" i="2"/>
  <c r="G17" i="2"/>
  <c r="G14" i="2"/>
  <c r="G6" i="2"/>
  <c r="N25" i="3" l="1"/>
  <c r="N26" i="3" s="1"/>
  <c r="AB24" i="2"/>
  <c r="AB25" i="2" s="1"/>
  <c r="H15" i="3"/>
  <c r="L15" i="3" s="1"/>
  <c r="N35" i="3"/>
  <c r="N34" i="3"/>
  <c r="N33" i="3"/>
  <c r="I32" i="3"/>
  <c r="N32" i="3" s="1"/>
  <c r="H20" i="3"/>
  <c r="L20" i="3" s="1"/>
  <c r="H19" i="3"/>
  <c r="L19" i="3" s="1"/>
  <c r="H14" i="3"/>
  <c r="L14" i="3" s="1"/>
  <c r="H13" i="3"/>
  <c r="L13" i="3" s="1"/>
  <c r="N23" i="2"/>
  <c r="N22" i="2"/>
  <c r="N21" i="2"/>
  <c r="N20" i="2"/>
  <c r="N19" i="2"/>
  <c r="N18" i="2"/>
  <c r="N17" i="2"/>
  <c r="N16" i="2"/>
  <c r="N15" i="2"/>
  <c r="U23" i="2"/>
  <c r="G23" i="2"/>
  <c r="U22" i="2"/>
  <c r="G22" i="2"/>
  <c r="U16" i="2"/>
  <c r="G16" i="2"/>
  <c r="U15" i="2"/>
  <c r="G15" i="2"/>
  <c r="N14" i="2"/>
  <c r="N13" i="2"/>
  <c r="N12" i="2"/>
  <c r="N11" i="2"/>
  <c r="U13" i="2"/>
  <c r="N10" i="2"/>
  <c r="G13" i="2"/>
  <c r="U12" i="2"/>
  <c r="N9" i="2"/>
  <c r="G12" i="2"/>
  <c r="U11" i="2"/>
  <c r="G11" i="2"/>
  <c r="U10" i="2"/>
  <c r="G10" i="2"/>
  <c r="U9" i="2"/>
  <c r="G9" i="2"/>
  <c r="N8" i="2"/>
  <c r="U8" i="2"/>
  <c r="G8" i="2"/>
  <c r="N7" i="2"/>
  <c r="N6" i="2"/>
  <c r="U7" i="2"/>
  <c r="N5" i="2"/>
  <c r="G7" i="2"/>
  <c r="U5" i="2"/>
  <c r="G5" i="2"/>
  <c r="N36" i="3" l="1"/>
  <c r="O36" i="3" s="1"/>
  <c r="N15" i="3"/>
  <c r="N14" i="3"/>
  <c r="N13" i="3"/>
  <c r="N19" i="3"/>
  <c r="N20" i="3"/>
  <c r="D38" i="2"/>
  <c r="N24" i="2"/>
  <c r="U24" i="2"/>
  <c r="O41" i="3"/>
  <c r="G24" i="2"/>
  <c r="G25" i="2" s="1"/>
  <c r="N22" i="3" l="1"/>
  <c r="N16" i="3"/>
  <c r="D35" i="2"/>
  <c r="N25" i="2"/>
  <c r="D36" i="2" s="1"/>
  <c r="U25" i="2"/>
  <c r="D37" i="2" s="1"/>
  <c r="N28" i="3" l="1"/>
  <c r="O28" i="3" s="1"/>
  <c r="AJ4" i="2"/>
  <c r="D39" i="2" l="1"/>
  <c r="D33" i="2"/>
  <c r="F37" i="2" s="1"/>
  <c r="G37" i="2" s="1"/>
  <c r="F38" i="2" l="1"/>
  <c r="G38" i="2" s="1"/>
  <c r="F36" i="2"/>
  <c r="G36" i="2" s="1"/>
  <c r="F35" i="2"/>
  <c r="G35" i="2" s="1"/>
  <c r="F39" i="2"/>
  <c r="G39" i="2" s="1"/>
  <c r="I44" i="3"/>
  <c r="K44" i="3" s="1"/>
  <c r="N44" i="3" s="1"/>
  <c r="N45" i="3" l="1"/>
  <c r="O45" i="3" s="1"/>
  <c r="B49" i="3" s="1"/>
  <c r="B57" i="3" s="1"/>
  <c r="B61" i="3" s="1"/>
</calcChain>
</file>

<file path=xl/comments1.xml><?xml version="1.0" encoding="utf-8"?>
<comments xmlns="http://schemas.openxmlformats.org/spreadsheetml/2006/main">
  <authors>
    <author>diana patricia estupiñan ramirez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Gastos directos:</t>
        </r>
        <r>
          <rPr>
            <sz val="9"/>
            <color indexed="81"/>
            <rFont val="Tahoma"/>
            <family val="2"/>
          </rPr>
          <t xml:space="preserve">
Incluye los siguientesess rubros entre otros:
Seguros varios para oficina central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Gastos generales:</t>
        </r>
        <r>
          <rPr>
            <sz val="9"/>
            <color indexed="81"/>
            <rFont val="Tahoma"/>
            <family val="2"/>
          </rPr>
          <t xml:space="preserve">
Incluye entre otros: Asesorias, aseo, Sistemas de gestión, gastos de administrativos (Diferentes a los establecidos en el presupuesto)</t>
        </r>
      </text>
    </comment>
    <comment ref="E9" authorId="0">
      <text>
        <r>
          <rPr>
            <sz val="9"/>
            <color indexed="81"/>
            <rFont val="Tahoma"/>
            <family val="2"/>
          </rPr>
          <t xml:space="preserve">Gastos Directos NR:
Incluye entre otros:
Elaboración de propuestas, Polizas, Impuestos y Costos bancarios
</t>
        </r>
      </text>
    </comment>
    <comment ref="E12" authorId="0">
      <text>
        <r>
          <rPr>
            <sz val="9"/>
            <color indexed="81"/>
            <rFont val="Tahoma"/>
            <family val="2"/>
          </rPr>
          <t xml:space="preserve">Utilidad del consultor, según tabla 8.
</t>
        </r>
      </text>
    </comment>
  </commentList>
</comments>
</file>

<file path=xl/sharedStrings.xml><?xml version="1.0" encoding="utf-8"?>
<sst xmlns="http://schemas.openxmlformats.org/spreadsheetml/2006/main" count="534" uniqueCount="220">
  <si>
    <t>PROYECTO: “CONSULTORÍA PARA EL ANÁLISIS, EVALUACIÓN, REVISIÓN Y DEFINICIÓN DE LA ALTERNATIVA PARA LA INTERVENCIÓN DE LAS ESTRUCTURAS QUE NO HAN SIDO DEMOLIDAS Y SE ENCUENTRAN DENTRO DE LOS PREDIOS DONDE SE CONSTRUIRA LA FUTURA ESTACION 12 DE LA PLMB QUE COLINDAN CON UN BIEN DE INTERÉS CULTURAL-BIC..”</t>
  </si>
  <si>
    <t>TIPO CONTRATISTA:</t>
  </si>
  <si>
    <t>Persona Jurídica y/o natural</t>
  </si>
  <si>
    <t>MODALIDAD CONTRATACIÓN:</t>
  </si>
  <si>
    <t>Minima Cuantia</t>
  </si>
  <si>
    <t>CONTRATO DE:</t>
  </si>
  <si>
    <t>Consultoría</t>
  </si>
  <si>
    <t>PLAZO EN MESES:</t>
  </si>
  <si>
    <t>PERSONAL PROFESIONAL (AFECTADO POR EL FACTOR MULTIPLICADOR)</t>
  </si>
  <si>
    <t>CARGO</t>
  </si>
  <si>
    <t>REFERENCIA DE COSTO</t>
  </si>
  <si>
    <t>CANTIDAD</t>
  </si>
  <si>
    <t>Categorias según CCI</t>
  </si>
  <si>
    <t>% DEDICACIÓN MENSUAL</t>
  </si>
  <si>
    <t>MESES</t>
  </si>
  <si>
    <t>% DE PARTICIPACIÓN TOTAL</t>
  </si>
  <si>
    <t>COSTO / MES  (TARIFA CCI) 2012</t>
  </si>
  <si>
    <t>Factor Indexación a Octubre 2023</t>
  </si>
  <si>
    <t>COSTO / MES  (TARIFA CCI) 2023</t>
  </si>
  <si>
    <t>F.M.</t>
  </si>
  <si>
    <t xml:space="preserve">Director </t>
  </si>
  <si>
    <t>Informe "Taridas de consultoría y calculo FM" Camara Colombiana de Infraestructuras</t>
  </si>
  <si>
    <t>Cat 1</t>
  </si>
  <si>
    <t>Arquitecto</t>
  </si>
  <si>
    <t>Cat 2</t>
  </si>
  <si>
    <t>Esp. Geotecnia</t>
  </si>
  <si>
    <t>Esp. Estructuras</t>
  </si>
  <si>
    <t xml:space="preserve">Costo </t>
  </si>
  <si>
    <t>PERSONAL TÉCNICO (AFECTADO POR EL FACTOR MULTIPLICADOR)</t>
  </si>
  <si>
    <t>CATEGORIA</t>
  </si>
  <si>
    <t>VALOR PARCIAL</t>
  </si>
  <si>
    <t>Topógrafo Inspector</t>
  </si>
  <si>
    <t>NA</t>
  </si>
  <si>
    <t>Cadenero 1</t>
  </si>
  <si>
    <t>Ing.Civil  Auxiliar</t>
  </si>
  <si>
    <t>Profesional Cat 8</t>
  </si>
  <si>
    <t>PERSONAL ADMON NO FACTURABLE (AFECTADO POR EL FACTOR MULTIPLICADOR)</t>
  </si>
  <si>
    <t xml:space="preserve">% DEDICACIÓN </t>
  </si>
  <si>
    <t>COSTO / MES  (TARIFA EMB) 2022</t>
  </si>
  <si>
    <t>Variación porcentual Anual según decreto 0885 de 2023</t>
  </si>
  <si>
    <t>COSTO / MES  (TARIFA EMB) 2023</t>
  </si>
  <si>
    <t>Conductor</t>
  </si>
  <si>
    <t>TOTAL COSTO PERSONAL CON FM</t>
  </si>
  <si>
    <t xml:space="preserve">OFICINA PRINCIPAL </t>
  </si>
  <si>
    <t>COSTO / MES  ( TARIFA IDU 2023)</t>
  </si>
  <si>
    <t xml:space="preserve">Descripción </t>
  </si>
  <si>
    <t>Arrendamiento incluye Admon, Servicios públicos comunicaciones ($/mes/m2)</t>
  </si>
  <si>
    <t>1_Avisor de precios unitarios de referencia 2023 I Fase I IDU</t>
  </si>
  <si>
    <t>Papelería ($/mes)</t>
  </si>
  <si>
    <t>Computador + Programas ($/mes)</t>
  </si>
  <si>
    <t>Celular + Plan voz y datos ($/mes)</t>
  </si>
  <si>
    <t>EQUIPOS-VEHICULOS-OTROS (COSTOS DIRECTOS)</t>
  </si>
  <si>
    <t>Campero, Pick-up, Camioneta, capacidad 5 personas, incluye combustible, no incluye conductor</t>
  </si>
  <si>
    <t>Estación Total de Topografía</t>
  </si>
  <si>
    <t>ENSAYOS DE LABORATORIO</t>
  </si>
  <si>
    <t>Variación porcentual Anual según IPC a sept-2023</t>
  </si>
  <si>
    <t>COSTO /GL  a septiembre de 2023</t>
  </si>
  <si>
    <t>Ensayos requeridos para la elaboración del informe de acuerdo al anexo 1</t>
  </si>
  <si>
    <t>Cotizaciones comparativo anexo</t>
  </si>
  <si>
    <t>COSTO TOTAL  DE COSULTORIA</t>
  </si>
  <si>
    <t>IVA</t>
  </si>
  <si>
    <t>COSTO IVA  DE COSULTORIA</t>
  </si>
  <si>
    <t>COSTO TOTAL DE LA CONSULTORÍA</t>
  </si>
  <si>
    <t>Elaborado por:</t>
  </si>
  <si>
    <t>NELSON JAIRO PINEDA R</t>
  </si>
  <si>
    <r>
      <t>Profesional Subgerencia de Construcci</t>
    </r>
    <r>
      <rPr>
        <sz val="11"/>
        <color theme="1"/>
        <rFont val="Arial"/>
        <family val="2"/>
      </rPr>
      <t>ó</t>
    </r>
    <r>
      <rPr>
        <sz val="11"/>
        <color theme="1"/>
        <rFont val="Calibri"/>
        <family val="2"/>
      </rPr>
      <t>n e Infraestructura</t>
    </r>
  </si>
  <si>
    <t>Actividad / Tiempo</t>
  </si>
  <si>
    <t>MES 1</t>
  </si>
  <si>
    <t>MES 2</t>
  </si>
  <si>
    <t>MES 3</t>
  </si>
  <si>
    <t>Visita previa</t>
  </si>
  <si>
    <t>Plan de trabajo</t>
  </si>
  <si>
    <t>Movilización de equipos</t>
  </si>
  <si>
    <t>Toma de muestras</t>
  </si>
  <si>
    <t>Realización de ensayos</t>
  </si>
  <si>
    <t>Resultados</t>
  </si>
  <si>
    <t>Analisis de resultados</t>
  </si>
  <si>
    <t>Diseño de alternativas</t>
  </si>
  <si>
    <t>Definición de las alternativas</t>
  </si>
  <si>
    <t>Elaboración Informe final</t>
  </si>
  <si>
    <t>Aprobación EMB</t>
  </si>
  <si>
    <t>Radicación IDPC</t>
  </si>
  <si>
    <t>Resolución de Observaciones</t>
  </si>
  <si>
    <t>Obtención de permiso</t>
  </si>
  <si>
    <t>Dedicación Profesionales</t>
  </si>
  <si>
    <t>TOTAL</t>
  </si>
  <si>
    <t>Director</t>
  </si>
  <si>
    <t>Estructural</t>
  </si>
  <si>
    <t>Geotecnista</t>
  </si>
  <si>
    <t>Nota 1</t>
  </si>
  <si>
    <t>Un mes tiene en promedio 4.3 semanas = (52 semanas/12 mesese)</t>
  </si>
  <si>
    <t>Horas por 3 meses</t>
  </si>
  <si>
    <t>Nota 2</t>
  </si>
  <si>
    <t>Cada semana tiene 48 horas laborables</t>
  </si>
  <si>
    <t>HL</t>
  </si>
  <si>
    <t>Nota 3</t>
  </si>
  <si>
    <t>Un mes tiene 206 horas laborables en promedio</t>
  </si>
  <si>
    <t>Semanas</t>
  </si>
  <si>
    <t>meses</t>
  </si>
  <si>
    <t>Horas X mes</t>
  </si>
  <si>
    <t>Horas X semana</t>
  </si>
  <si>
    <t>DIRECTOR</t>
  </si>
  <si>
    <t>Item</t>
  </si>
  <si>
    <t>Descripcioón</t>
  </si>
  <si>
    <t>Horas de dedicación en el plazo</t>
  </si>
  <si>
    <t>Horas por semana</t>
  </si>
  <si>
    <t>Semanas por mes</t>
  </si>
  <si>
    <t>Horas por mes</t>
  </si>
  <si>
    <t>Plazo total (meses)</t>
  </si>
  <si>
    <t>Tiempo requerido</t>
  </si>
  <si>
    <t>% requerido</t>
  </si>
  <si>
    <t>El analisis de los ensayos de laboratorio  requiere al menos una dedicación de1 horas al día</t>
  </si>
  <si>
    <t>El analisis para la elaboración del resultado requiere al menos 0.7 hora al día</t>
  </si>
  <si>
    <t>La elaboración del informe final requerirá al menos 0.7 horas por día</t>
  </si>
  <si>
    <t>Revisión de correspondencia y preparación de respuesta, al menos 0.7 hora a la semana</t>
  </si>
  <si>
    <t>Visita al sitio de obra, al menos 1 visita</t>
  </si>
  <si>
    <t>Asistencia a reuniones con el contratante al menos 1 de 2 horas por mes</t>
  </si>
  <si>
    <t>DEDICACIÓN TOTAL</t>
  </si>
  <si>
    <t>PROFESIONALES ESPECIALIZADOS; ESTRUCTURAL Y GEOTECNISTA</t>
  </si>
  <si>
    <t>El analisis de los ensayos de laboratorio  requiere al menos una dedicación de 3 horas al día</t>
  </si>
  <si>
    <t>El analisis para la elaboración del resultado requiere al menos 1 hora al día</t>
  </si>
  <si>
    <t>La elaboración del informe final requerirá al menos 1.5 horas por día</t>
  </si>
  <si>
    <t>Revisión de correspondencia y preparación de respuesta, al menos 1.3 hora a la semana</t>
  </si>
  <si>
    <t>Visita al sitio de obra, al menos dos días del contrato</t>
  </si>
  <si>
    <t>ARQUITECTO</t>
  </si>
  <si>
    <t>Tarifas 2012</t>
  </si>
  <si>
    <t>Indexación a Oct/23</t>
  </si>
  <si>
    <t>Arquitecto especializado BIC</t>
  </si>
  <si>
    <t>Ing. Auxiliar</t>
  </si>
  <si>
    <t>CATEGORIAS ESTABLECIDAS SEGÚN CCI</t>
  </si>
  <si>
    <t>ENSAYOS DE LABORATORIO PARA ESTUDIO MURO E-12 CONCRELAB</t>
  </si>
  <si>
    <t>ENSAYOS DE LABORATORIO PARA ESTUDIO MURO E-12 EIE</t>
  </si>
  <si>
    <t>ENSAYOS DE LABORATORIO PARA ESTUDIO MURO E-12 DAPCIL</t>
  </si>
  <si>
    <t>PROMEDIO PONDERADO DE ACUERDO A LOS ITEMS SOLICITADOS</t>
  </si>
  <si>
    <t>ENSAYOS DE LABORATORIO PARA ESTUDIO MURO E-12 PROMEDIO DE LOS TRES PROP</t>
  </si>
  <si>
    <t xml:space="preserve">No </t>
  </si>
  <si>
    <t>ITEM</t>
  </si>
  <si>
    <t>UNIDAD</t>
  </si>
  <si>
    <t xml:space="preserve">CANTIDAD </t>
  </si>
  <si>
    <t>VALOR UNITARIO</t>
  </si>
  <si>
    <t>VALOR TOTAL</t>
  </si>
  <si>
    <t>Barreno manual (incluye transporte)</t>
  </si>
  <si>
    <t>ml</t>
  </si>
  <si>
    <t>1a</t>
  </si>
  <si>
    <t>Apique para investigación geotecnica</t>
  </si>
  <si>
    <t>Und</t>
  </si>
  <si>
    <t>Granulometría por tamizado, con lavado</t>
  </si>
  <si>
    <t>Humedad natural (en horno)</t>
  </si>
  <si>
    <t>Limites líquido y plástico</t>
  </si>
  <si>
    <t>Limite de contracción</t>
  </si>
  <si>
    <t>Peso especifico de solidos</t>
  </si>
  <si>
    <t>Peso unitario y humedad</t>
  </si>
  <si>
    <t>Consolidación rápida</t>
  </si>
  <si>
    <t>17b</t>
  </si>
  <si>
    <t>Compresión incofinada</t>
  </si>
  <si>
    <t>Preparación Caras Núcleos</t>
  </si>
  <si>
    <t>Extracción Núcleo diámetro 15 cm y longitud 30 cm.</t>
  </si>
  <si>
    <t>24a</t>
  </si>
  <si>
    <t>Regatas para verificación de diametros y recubrimientso de armaduras</t>
  </si>
  <si>
    <t>24b</t>
  </si>
  <si>
    <t>Inspección de estructuras utilizando el ferroscan</t>
  </si>
  <si>
    <t>24c</t>
  </si>
  <si>
    <t>Ensayo de ultrasonido, por elemento o zona</t>
  </si>
  <si>
    <t>24e</t>
  </si>
  <si>
    <t>Ensayo de esclerometro, por elemento</t>
  </si>
  <si>
    <t>24f</t>
  </si>
  <si>
    <t>Medida de potencial de corrosión</t>
  </si>
  <si>
    <t>Resistencia Compresión  cilindros 15 cm</t>
  </si>
  <si>
    <t>Tracción Indirecta Cilindros de Concreto</t>
  </si>
  <si>
    <t>VALOR TOTAL DE LOS ENSAYOS</t>
  </si>
  <si>
    <t>****</t>
  </si>
  <si>
    <t>Se tomará la propuesta de la mediana más cercano</t>
  </si>
  <si>
    <t>MA</t>
  </si>
  <si>
    <t>***Mediana aritmetica</t>
  </si>
  <si>
    <t>CONCRELAB</t>
  </si>
  <si>
    <t>EIE</t>
  </si>
  <si>
    <t>DAPCIL</t>
  </si>
  <si>
    <t>PROMEDIO DE CADA ITEM</t>
  </si>
  <si>
    <t>PROMEDIO DEL TOTAL</t>
  </si>
  <si>
    <t>Total, Indice de Precios al Consumidor (IPC)</t>
  </si>
  <si>
    <t>Índices - Serie de empalme
2003 - 2023</t>
  </si>
  <si>
    <t>Base Diciembre de 2018 = 100,00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</si>
  <si>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</si>
  <si>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</si>
  <si>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</si>
  <si>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</si>
  <si>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</si>
  <si>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</si>
  <si>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</si>
  <si>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</si>
  <si>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</si>
  <si>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</si>
  <si>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</si>
  <si>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</si>
  <si>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</si>
  <si>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r>
      <rPr>
        <b/>
        <sz val="8"/>
        <rFont val="Segoe UI"/>
        <family val="2"/>
        <charset val="204"/>
      </rPr>
      <t>Fuente:</t>
    </r>
    <r>
      <rPr>
        <sz val="8"/>
        <rFont val="Segoe UI"/>
        <family val="2"/>
        <charset val="204"/>
      </rPr>
      <t xml:space="preserve"> DANE.</t>
    </r>
  </si>
  <si>
    <r>
      <rPr>
        <b/>
        <sz val="8"/>
        <rFont val="Segoe UI"/>
        <family val="2"/>
        <charset val="204"/>
      </rPr>
      <t>Nota:</t>
    </r>
    <r>
      <rPr>
        <sz val="8"/>
        <rFont val="Segoe UI"/>
        <family val="2"/>
        <charset val="204"/>
      </rPr>
      <t xml:space="preserve"> La diferencia en la suma de las variables, obedece al sistema de aproximación y redondeo.</t>
    </r>
  </si>
  <si>
    <t>Actualizado el 08 de noviembre de 2023</t>
  </si>
  <si>
    <t>Descripción</t>
  </si>
  <si>
    <t>Porcentaje</t>
  </si>
  <si>
    <t>Gastos Directos</t>
  </si>
  <si>
    <t>Salario</t>
  </si>
  <si>
    <t>Pensión</t>
  </si>
  <si>
    <t>Salud</t>
  </si>
  <si>
    <t xml:space="preserve">Gastos Generales </t>
  </si>
  <si>
    <t>Riesgos profesionales</t>
  </si>
  <si>
    <t>Prima</t>
  </si>
  <si>
    <t>Cesantías</t>
  </si>
  <si>
    <t>Costos directos no reembolsables</t>
  </si>
  <si>
    <t>int. Cesantías</t>
  </si>
  <si>
    <t>Vacaciones</t>
  </si>
  <si>
    <t>Caja de compensación</t>
  </si>
  <si>
    <t>Utilidad del consultor</t>
  </si>
  <si>
    <t>Sena</t>
  </si>
  <si>
    <t>ICBF</t>
  </si>
  <si>
    <t>Dotación y SISO</t>
  </si>
  <si>
    <t>Total FM</t>
  </si>
  <si>
    <t>Total F.M.</t>
  </si>
  <si>
    <t>**** Análisis del factor multiplicador dentro del presupuesto de la consultaría en Colombia</t>
  </si>
  <si>
    <t>***** Elaboración de presupuestos para contratos de construcción_2_IDU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</si>
</sst>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 * #,##0.00_ ;_ * \-#,##0.00_ ;_ * &quot;-&quot;??_ ;_ @_ "/>
    <numFmt numFmtId="166" formatCode="#,##0.00_ ;\-#,##0.00\ "/>
    <numFmt numFmtId="167" formatCode="&quot;$&quot;\ #,##0"/>
    <numFmt numFmtId="168" formatCode="_-&quot;$&quot;\ * #,##0_-;\-&quot;$&quot;\ * #,##0_-;_-&quot;$&quot;\ * &quot;-&quot;??_-;_-@_-"/>
    <numFmt numFmtId="169" formatCode="&quot;$&quot;\ #,##0.00"/>
    <numFmt numFmtId="170" formatCode="&quot;$&quot;#,##0"/>
    <numFmt numFmtId="171" formatCode="0.0"/>
    <numFmt numFmtId="172" formatCode="0.000"/>
    <numFmt numFmtId="173" formatCode="0.000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6"/>
      <name val="Calibri Light"/>
      <family val="2"/>
      <scheme val="major"/>
    </font>
    <font>
      <sz val="16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20"/>
      <color theme="1"/>
      <name val="Calibri Light"/>
      <family val="2"/>
      <scheme val="major"/>
    </font>
    <font>
      <b/>
      <sz val="14"/>
      <name val="Calibri Light"/>
      <family val="2"/>
      <scheme val="major"/>
    </font>
    <font>
      <sz val="12"/>
      <name val="Calibri Light"/>
      <family val="2"/>
      <scheme val="major"/>
    </font>
    <font>
      <sz val="9"/>
      <color indexed="81"/>
      <name val="Tahoma"/>
      <family val="2"/>
    </font>
    <font>
      <b/>
      <sz val="12"/>
      <name val="Calibri Light"/>
      <family val="2"/>
      <scheme val="major"/>
    </font>
    <font>
      <sz val="9"/>
      <name val="Segoe UI"/>
      <family val="2"/>
      <charset val="204"/>
    </font>
    <font>
      <b/>
      <sz val="14"/>
      <color theme="0"/>
      <name val="Segoe UI"/>
      <family val="2"/>
      <charset val="204"/>
    </font>
    <font>
      <b/>
      <sz val="9"/>
      <name val="Segoe UI"/>
      <family val="2"/>
      <charset val="204"/>
    </font>
    <font>
      <sz val="10"/>
      <name val="Arial"/>
      <family val="2"/>
    </font>
    <font>
      <b/>
      <sz val="9"/>
      <name val="Segoe UI"/>
      <family val="2"/>
    </font>
    <font>
      <sz val="8"/>
      <name val="Segoe UI"/>
      <family val="2"/>
      <charset val="204"/>
    </font>
    <font>
      <b/>
      <sz val="8"/>
      <name val="Segoe UI"/>
      <family val="2"/>
      <charset val="204"/>
    </font>
    <font>
      <b/>
      <sz val="9"/>
      <color indexed="81"/>
      <name val="Tahoma"/>
      <family val="2"/>
    </font>
    <font>
      <b/>
      <sz val="12"/>
      <name val="Segoe UI"/>
      <family val="2"/>
      <charset val="204"/>
    </font>
    <font>
      <sz val="10"/>
      <name val="Segoe UI"/>
      <family val="2"/>
      <charset val="204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9"/>
      <color theme="1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399975585192419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</cellStyleXfs>
  <cellXfs count="300">
    <xf numFmtId="0" fontId="0" fillId="0" borderId="0" xfId="0"/>
    <xf numFmtId="0" fontId="3" fillId="0" borderId="0" xfId="0" applyFont="1"/>
    <xf numFmtId="165" fontId="4" fillId="0" borderId="3" xfId="4" applyFont="1" applyFill="1" applyBorder="1" applyAlignment="1">
      <alignment vertical="center"/>
    </xf>
    <xf numFmtId="165" fontId="4" fillId="0" borderId="3" xfId="4" applyFont="1" applyFill="1" applyBorder="1" applyAlignment="1" applyProtection="1">
      <alignment vertical="center"/>
      <protection locked="0"/>
    </xf>
    <xf numFmtId="165" fontId="5" fillId="2" borderId="3" xfId="3" applyFont="1" applyFill="1" applyBorder="1" applyAlignment="1">
      <alignment horizontal="center" vertical="center"/>
    </xf>
    <xf numFmtId="165" fontId="4" fillId="3" borderId="3" xfId="4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165" fontId="4" fillId="0" borderId="0" xfId="4" applyFont="1" applyFill="1" applyBorder="1" applyAlignment="1" applyProtection="1">
      <alignment vertical="center"/>
      <protection locked="0"/>
    </xf>
    <xf numFmtId="10" fontId="4" fillId="0" borderId="0" xfId="2" applyNumberFormat="1" applyFont="1" applyFill="1" applyBorder="1" applyAlignment="1" applyProtection="1">
      <alignment vertical="center"/>
      <protection locked="0"/>
    </xf>
    <xf numFmtId="44" fontId="3" fillId="0" borderId="0" xfId="5" applyFont="1"/>
    <xf numFmtId="44" fontId="3" fillId="0" borderId="0" xfId="0" applyNumberFormat="1" applyFont="1"/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right" vertical="center"/>
    </xf>
    <xf numFmtId="43" fontId="5" fillId="0" borderId="0" xfId="1" applyFont="1" applyFill="1" applyBorder="1" applyAlignment="1">
      <alignment vertical="center"/>
    </xf>
    <xf numFmtId="43" fontId="5" fillId="0" borderId="0" xfId="1" applyFont="1" applyFill="1" applyBorder="1" applyAlignment="1">
      <alignment vertical="center" wrapText="1"/>
    </xf>
    <xf numFmtId="0" fontId="8" fillId="0" borderId="0" xfId="0" applyFont="1"/>
    <xf numFmtId="0" fontId="5" fillId="2" borderId="3" xfId="0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left" vertical="center" wrapText="1"/>
      <protection locked="0"/>
    </xf>
    <xf numFmtId="0" fontId="12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41" fontId="0" fillId="0" borderId="17" xfId="6" applyFont="1" applyBorder="1"/>
    <xf numFmtId="0" fontId="0" fillId="0" borderId="18" xfId="0" applyBorder="1" applyAlignment="1">
      <alignment horizontal="center" vertical="center"/>
    </xf>
    <xf numFmtId="0" fontId="14" fillId="0" borderId="22" xfId="0" applyFont="1" applyBorder="1" applyAlignment="1">
      <alignment vertical="center" wrapText="1"/>
    </xf>
    <xf numFmtId="0" fontId="14" fillId="0" borderId="23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/>
    </xf>
    <xf numFmtId="41" fontId="0" fillId="0" borderId="23" xfId="6" applyFont="1" applyBorder="1"/>
    <xf numFmtId="41" fontId="0" fillId="6" borderId="24" xfId="6" applyFont="1" applyFill="1" applyBorder="1"/>
    <xf numFmtId="0" fontId="0" fillId="0" borderId="25" xfId="0" applyBorder="1" applyAlignment="1">
      <alignment horizontal="center" vertical="center"/>
    </xf>
    <xf numFmtId="0" fontId="14" fillId="0" borderId="26" xfId="0" applyFont="1" applyBorder="1" applyAlignment="1">
      <alignment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41" fontId="0" fillId="0" borderId="3" xfId="6" applyFont="1" applyBorder="1"/>
    <xf numFmtId="41" fontId="0" fillId="0" borderId="24" xfId="6" applyFont="1" applyBorder="1"/>
    <xf numFmtId="41" fontId="12" fillId="7" borderId="10" xfId="6" applyFont="1" applyFill="1" applyBorder="1"/>
    <xf numFmtId="41" fontId="0" fillId="0" borderId="27" xfId="6" applyFont="1" applyBorder="1"/>
    <xf numFmtId="0" fontId="0" fillId="0" borderId="28" xfId="0" applyBorder="1" applyAlignment="1">
      <alignment horizontal="center" vertical="center"/>
    </xf>
    <xf numFmtId="0" fontId="14" fillId="0" borderId="29" xfId="0" applyFont="1" applyBorder="1" applyAlignment="1">
      <alignment vertical="center" wrapText="1"/>
    </xf>
    <xf numFmtId="41" fontId="0" fillId="6" borderId="27" xfId="6" applyFont="1" applyFill="1" applyBorder="1"/>
    <xf numFmtId="0" fontId="0" fillId="7" borderId="0" xfId="0" applyFill="1"/>
    <xf numFmtId="0" fontId="0" fillId="0" borderId="19" xfId="0" applyBorder="1"/>
    <xf numFmtId="41" fontId="0" fillId="0" borderId="20" xfId="0" applyNumberFormat="1" applyBorder="1"/>
    <xf numFmtId="41" fontId="0" fillId="0" borderId="21" xfId="0" applyNumberFormat="1" applyBorder="1"/>
    <xf numFmtId="0" fontId="0" fillId="0" borderId="26" xfId="0" applyBorder="1"/>
    <xf numFmtId="41" fontId="0" fillId="0" borderId="3" xfId="0" applyNumberFormat="1" applyBorder="1"/>
    <xf numFmtId="41" fontId="0" fillId="0" borderId="27" xfId="0" applyNumberFormat="1" applyBorder="1"/>
    <xf numFmtId="0" fontId="3" fillId="0" borderId="3" xfId="0" applyFont="1" applyBorder="1"/>
    <xf numFmtId="10" fontId="4" fillId="0" borderId="3" xfId="2" applyNumberFormat="1" applyFont="1" applyFill="1" applyBorder="1" applyAlignment="1" applyProtection="1">
      <alignment vertical="center"/>
      <protection locked="0"/>
    </xf>
    <xf numFmtId="167" fontId="3" fillId="0" borderId="3" xfId="0" applyNumberFormat="1" applyFont="1" applyBorder="1"/>
    <xf numFmtId="2" fontId="4" fillId="3" borderId="3" xfId="4" applyNumberFormat="1" applyFont="1" applyFill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9" fontId="3" fillId="0" borderId="3" xfId="2" applyFont="1" applyBorder="1"/>
    <xf numFmtId="0" fontId="3" fillId="0" borderId="3" xfId="0" applyFont="1" applyBorder="1" applyAlignment="1">
      <alignment horizontal="center"/>
    </xf>
    <xf numFmtId="168" fontId="3" fillId="0" borderId="3" xfId="5" applyNumberFormat="1" applyFont="1" applyBorder="1"/>
    <xf numFmtId="169" fontId="3" fillId="0" borderId="3" xfId="0" applyNumberFormat="1" applyFont="1" applyBorder="1"/>
    <xf numFmtId="44" fontId="3" fillId="0" borderId="3" xfId="0" applyNumberFormat="1" applyFont="1" applyBorder="1"/>
    <xf numFmtId="44" fontId="3" fillId="0" borderId="3" xfId="5" applyFont="1" applyBorder="1"/>
    <xf numFmtId="0" fontId="6" fillId="4" borderId="3" xfId="0" applyFont="1" applyFill="1" applyBorder="1" applyAlignment="1" applyProtection="1">
      <alignment horizontal="center" vertical="center"/>
      <protection locked="0"/>
    </xf>
    <xf numFmtId="165" fontId="7" fillId="4" borderId="3" xfId="4" applyFont="1" applyFill="1" applyBorder="1" applyAlignment="1" applyProtection="1">
      <alignment vertical="center"/>
      <protection locked="0"/>
    </xf>
    <xf numFmtId="0" fontId="7" fillId="4" borderId="3" xfId="0" applyFont="1" applyFill="1" applyBorder="1" applyAlignment="1" applyProtection="1">
      <alignment horizontal="center" vertical="center" wrapText="1"/>
      <protection locked="0"/>
    </xf>
    <xf numFmtId="10" fontId="7" fillId="4" borderId="3" xfId="2" applyNumberFormat="1" applyFont="1" applyFill="1" applyBorder="1" applyAlignment="1" applyProtection="1">
      <alignment vertical="center"/>
      <protection locked="0"/>
    </xf>
    <xf numFmtId="0" fontId="8" fillId="4" borderId="3" xfId="0" applyFont="1" applyFill="1" applyBorder="1"/>
    <xf numFmtId="0" fontId="8" fillId="4" borderId="3" xfId="0" applyFont="1" applyFill="1" applyBorder="1" applyAlignment="1">
      <alignment horizontal="center"/>
    </xf>
    <xf numFmtId="44" fontId="8" fillId="4" borderId="3" xfId="0" applyNumberFormat="1" applyFont="1" applyFill="1" applyBorder="1"/>
    <xf numFmtId="0" fontId="5" fillId="2" borderId="3" xfId="0" applyFont="1" applyFill="1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10" fontId="11" fillId="0" borderId="3" xfId="2" applyNumberFormat="1" applyFont="1" applyFill="1" applyBorder="1" applyAlignment="1" applyProtection="1">
      <alignment vertical="center"/>
      <protection locked="0"/>
    </xf>
    <xf numFmtId="168" fontId="4" fillId="3" borderId="3" xfId="4" applyNumberFormat="1" applyFont="1" applyFill="1" applyBorder="1" applyAlignment="1">
      <alignment horizontal="center" vertical="center"/>
    </xf>
    <xf numFmtId="168" fontId="9" fillId="9" borderId="3" xfId="0" applyNumberFormat="1" applyFont="1" applyFill="1" applyBorder="1"/>
    <xf numFmtId="44" fontId="8" fillId="8" borderId="3" xfId="0" applyNumberFormat="1" applyFont="1" applyFill="1" applyBorder="1"/>
    <xf numFmtId="0" fontId="5" fillId="0" borderId="19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0" fillId="0" borderId="34" xfId="0" applyBorder="1"/>
    <xf numFmtId="41" fontId="0" fillId="0" borderId="35" xfId="0" applyNumberFormat="1" applyBorder="1"/>
    <xf numFmtId="0" fontId="0" fillId="0" borderId="29" xfId="0" applyBorder="1"/>
    <xf numFmtId="41" fontId="0" fillId="0" borderId="30" xfId="0" applyNumberFormat="1" applyBorder="1"/>
    <xf numFmtId="41" fontId="0" fillId="0" borderId="31" xfId="0" applyNumberFormat="1" applyBorder="1"/>
    <xf numFmtId="0" fontId="18" fillId="0" borderId="3" xfId="0" applyFont="1" applyBorder="1" applyAlignment="1" applyProtection="1">
      <alignment horizontal="left" vertical="center"/>
      <protection locked="0"/>
    </xf>
    <xf numFmtId="49" fontId="4" fillId="0" borderId="3" xfId="0" applyNumberFormat="1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5" fillId="2" borderId="3" xfId="0" applyFont="1" applyFill="1" applyBorder="1" applyAlignment="1">
      <alignment horizontal="center" vertical="center" wrapText="1"/>
    </xf>
    <xf numFmtId="10" fontId="3" fillId="0" borderId="3" xfId="2" applyNumberFormat="1" applyFont="1" applyBorder="1"/>
    <xf numFmtId="0" fontId="20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2" fontId="3" fillId="0" borderId="3" xfId="0" applyNumberFormat="1" applyFont="1" applyBorder="1"/>
    <xf numFmtId="2" fontId="0" fillId="0" borderId="0" xfId="0" applyNumberFormat="1"/>
    <xf numFmtId="0" fontId="0" fillId="0" borderId="49" xfId="0" applyBorder="1"/>
    <xf numFmtId="9" fontId="0" fillId="14" borderId="16" xfId="0" applyNumberFormat="1" applyFill="1" applyBorder="1"/>
    <xf numFmtId="10" fontId="0" fillId="0" borderId="27" xfId="0" applyNumberFormat="1" applyBorder="1"/>
    <xf numFmtId="9" fontId="0" fillId="0" borderId="27" xfId="0" applyNumberFormat="1" applyBorder="1"/>
    <xf numFmtId="0" fontId="12" fillId="0" borderId="50" xfId="0" applyFont="1" applyBorder="1" applyAlignment="1">
      <alignment horizontal="center"/>
    </xf>
    <xf numFmtId="0" fontId="12" fillId="0" borderId="51" xfId="0" applyFont="1" applyBorder="1" applyAlignment="1">
      <alignment horizontal="center"/>
    </xf>
    <xf numFmtId="9" fontId="0" fillId="0" borderId="31" xfId="2" applyFont="1" applyFill="1" applyBorder="1"/>
    <xf numFmtId="0" fontId="3" fillId="0" borderId="3" xfId="0" applyFont="1" applyBorder="1" applyAlignment="1">
      <alignment horizontal="right"/>
    </xf>
    <xf numFmtId="0" fontId="0" fillId="0" borderId="29" xfId="0" applyBorder="1" applyAlignment="1">
      <alignment wrapText="1"/>
    </xf>
    <xf numFmtId="9" fontId="0" fillId="0" borderId="31" xfId="0" applyNumberFormat="1" applyBorder="1"/>
    <xf numFmtId="9" fontId="0" fillId="0" borderId="31" xfId="2" applyFont="1" applyBorder="1"/>
    <xf numFmtId="0" fontId="0" fillId="17" borderId="29" xfId="0" applyFill="1" applyBorder="1"/>
    <xf numFmtId="2" fontId="0" fillId="17" borderId="31" xfId="0" applyNumberFormat="1" applyFill="1" applyBorder="1"/>
    <xf numFmtId="0" fontId="0" fillId="0" borderId="0" xfId="0" applyAlignment="1">
      <alignment horizontal="left"/>
    </xf>
    <xf numFmtId="171" fontId="0" fillId="0" borderId="3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171" fontId="0" fillId="0" borderId="30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1" fontId="0" fillId="0" borderId="30" xfId="0" applyNumberFormat="1" applyBorder="1" applyAlignment="1">
      <alignment horizontal="center"/>
    </xf>
    <xf numFmtId="0" fontId="21" fillId="6" borderId="0" xfId="7" applyFont="1" applyFill="1"/>
    <xf numFmtId="0" fontId="23" fillId="15" borderId="4" xfId="7" applyFont="1" applyFill="1" applyBorder="1"/>
    <xf numFmtId="0" fontId="23" fillId="15" borderId="0" xfId="7" applyFont="1" applyFill="1"/>
    <xf numFmtId="0" fontId="23" fillId="15" borderId="6" xfId="7" applyFont="1" applyFill="1" applyBorder="1"/>
    <xf numFmtId="0" fontId="23" fillId="6" borderId="1" xfId="7" applyFont="1" applyFill="1" applyBorder="1" applyAlignment="1">
      <alignment horizontal="center" vertical="center"/>
    </xf>
    <xf numFmtId="0" fontId="23" fillId="6" borderId="2" xfId="7" applyFont="1" applyFill="1" applyBorder="1" applyAlignment="1">
      <alignment vertical="center"/>
    </xf>
    <xf numFmtId="0" fontId="21" fillId="6" borderId="2" xfId="7" applyFont="1" applyFill="1" applyBorder="1"/>
    <xf numFmtId="0" fontId="21" fillId="6" borderId="5" xfId="7" applyFont="1" applyFill="1" applyBorder="1"/>
    <xf numFmtId="0" fontId="23" fillId="6" borderId="48" xfId="7" applyFont="1" applyFill="1" applyBorder="1" applyAlignment="1">
      <alignment horizontal="right" vertical="center"/>
    </xf>
    <xf numFmtId="0" fontId="23" fillId="0" borderId="33" xfId="7" applyFont="1" applyBorder="1" applyAlignment="1">
      <alignment horizontal="center"/>
    </xf>
    <xf numFmtId="0" fontId="23" fillId="0" borderId="6" xfId="7" applyFont="1" applyBorder="1" applyAlignment="1">
      <alignment horizontal="center"/>
    </xf>
    <xf numFmtId="0" fontId="23" fillId="0" borderId="2" xfId="7" applyFont="1" applyBorder="1" applyAlignment="1">
      <alignment horizontal="center"/>
    </xf>
    <xf numFmtId="0" fontId="23" fillId="0" borderId="32" xfId="7" applyFont="1" applyBorder="1" applyAlignment="1">
      <alignment horizontal="center"/>
    </xf>
    <xf numFmtId="171" fontId="21" fillId="0" borderId="44" xfId="7" applyNumberFormat="1" applyFont="1" applyBorder="1" applyAlignment="1">
      <alignment horizontal="left" indent="1"/>
    </xf>
    <xf numFmtId="2" fontId="21" fillId="0" borderId="0" xfId="8" applyNumberFormat="1" applyFont="1" applyFill="1" applyBorder="1" applyAlignment="1">
      <alignment horizontal="center"/>
    </xf>
    <xf numFmtId="2" fontId="21" fillId="0" borderId="0" xfId="8" quotePrefix="1" applyNumberFormat="1" applyFont="1" applyFill="1" applyBorder="1" applyAlignment="1">
      <alignment horizontal="center"/>
    </xf>
    <xf numFmtId="0" fontId="21" fillId="0" borderId="48" xfId="8" quotePrefix="1" applyNumberFormat="1" applyFont="1" applyFill="1" applyBorder="1" applyAlignment="1">
      <alignment horizontal="center"/>
    </xf>
    <xf numFmtId="171" fontId="21" fillId="13" borderId="44" xfId="7" applyNumberFormat="1" applyFont="1" applyFill="1" applyBorder="1" applyAlignment="1">
      <alignment horizontal="left" indent="1"/>
    </xf>
    <xf numFmtId="2" fontId="21" fillId="13" borderId="0" xfId="8" applyNumberFormat="1" applyFont="1" applyFill="1" applyBorder="1" applyAlignment="1">
      <alignment horizontal="center"/>
    </xf>
    <xf numFmtId="4" fontId="21" fillId="13" borderId="45" xfId="8" applyNumberFormat="1" applyFont="1" applyFill="1" applyBorder="1" applyAlignment="1">
      <alignment horizontal="center"/>
    </xf>
    <xf numFmtId="2" fontId="21" fillId="0" borderId="45" xfId="8" applyNumberFormat="1" applyFont="1" applyFill="1" applyBorder="1" applyAlignment="1">
      <alignment horizontal="center"/>
    </xf>
    <xf numFmtId="2" fontId="21" fillId="13" borderId="45" xfId="8" applyNumberFormat="1" applyFont="1" applyFill="1" applyBorder="1" applyAlignment="1">
      <alignment horizontal="center"/>
    </xf>
    <xf numFmtId="2" fontId="21" fillId="6" borderId="0" xfId="7" applyNumberFormat="1" applyFont="1" applyFill="1"/>
    <xf numFmtId="2" fontId="25" fillId="13" borderId="45" xfId="8" applyNumberFormat="1" applyFont="1" applyFill="1" applyBorder="1" applyAlignment="1">
      <alignment horizontal="center"/>
    </xf>
    <xf numFmtId="171" fontId="21" fillId="13" borderId="23" xfId="7" applyNumberFormat="1" applyFont="1" applyFill="1" applyBorder="1" applyAlignment="1">
      <alignment horizontal="left" indent="1"/>
    </xf>
    <xf numFmtId="2" fontId="21" fillId="13" borderId="6" xfId="8" applyNumberFormat="1" applyFont="1" applyFill="1" applyBorder="1" applyAlignment="1">
      <alignment horizontal="center"/>
    </xf>
    <xf numFmtId="2" fontId="25" fillId="13" borderId="46" xfId="8" applyNumberFormat="1" applyFont="1" applyFill="1" applyBorder="1" applyAlignment="1">
      <alignment horizontal="center"/>
    </xf>
    <xf numFmtId="0" fontId="26" fillId="6" borderId="5" xfId="7" applyFont="1" applyFill="1" applyBorder="1" applyAlignment="1">
      <alignment vertical="center"/>
    </xf>
    <xf numFmtId="0" fontId="21" fillId="6" borderId="5" xfId="7" applyFont="1" applyFill="1" applyBorder="1" applyAlignment="1">
      <alignment vertical="center"/>
    </xf>
    <xf numFmtId="0" fontId="21" fillId="6" borderId="48" xfId="7" applyFont="1" applyFill="1" applyBorder="1" applyAlignment="1">
      <alignment vertical="center"/>
    </xf>
    <xf numFmtId="0" fontId="21" fillId="6" borderId="0" xfId="7" applyFont="1" applyFill="1" applyAlignment="1">
      <alignment vertical="center"/>
    </xf>
    <xf numFmtId="0" fontId="26" fillId="6" borderId="0" xfId="7" applyFont="1" applyFill="1" applyAlignment="1">
      <alignment vertical="center" wrapText="1"/>
    </xf>
    <xf numFmtId="0" fontId="21" fillId="6" borderId="45" xfId="7" applyFont="1" applyFill="1" applyBorder="1" applyAlignment="1">
      <alignment vertical="center"/>
    </xf>
    <xf numFmtId="3" fontId="27" fillId="6" borderId="33" xfId="7" applyNumberFormat="1" applyFont="1" applyFill="1" applyBorder="1" applyAlignment="1">
      <alignment vertical="center"/>
    </xf>
    <xf numFmtId="3" fontId="27" fillId="6" borderId="6" xfId="7" applyNumberFormat="1" applyFont="1" applyFill="1" applyBorder="1" applyAlignment="1">
      <alignment vertical="center"/>
    </xf>
    <xf numFmtId="3" fontId="27" fillId="6" borderId="6" xfId="7" applyNumberFormat="1" applyFont="1" applyFill="1" applyBorder="1" applyAlignment="1">
      <alignment horizontal="left" vertical="center"/>
    </xf>
    <xf numFmtId="0" fontId="21" fillId="6" borderId="6" xfId="7" applyFont="1" applyFill="1" applyBorder="1" applyAlignment="1">
      <alignment vertical="center"/>
    </xf>
    <xf numFmtId="0" fontId="21" fillId="6" borderId="46" xfId="7" applyFont="1" applyFill="1" applyBorder="1" applyAlignment="1">
      <alignment vertical="center"/>
    </xf>
    <xf numFmtId="0" fontId="30" fillId="6" borderId="0" xfId="7" applyFont="1" applyFill="1"/>
    <xf numFmtId="0" fontId="0" fillId="0" borderId="3" xfId="0" applyBorder="1" applyAlignment="1">
      <alignment horizontal="center"/>
    </xf>
    <xf numFmtId="10" fontId="0" fillId="0" borderId="40" xfId="2" applyNumberFormat="1" applyFont="1" applyBorder="1"/>
    <xf numFmtId="10" fontId="0" fillId="0" borderId="43" xfId="2" applyNumberFormat="1" applyFont="1" applyBorder="1"/>
    <xf numFmtId="0" fontId="0" fillId="0" borderId="3" xfId="0" applyBorder="1"/>
    <xf numFmtId="172" fontId="0" fillId="0" borderId="3" xfId="0" applyNumberFormat="1" applyBorder="1" applyAlignment="1">
      <alignment horizontal="center"/>
    </xf>
    <xf numFmtId="0" fontId="0" fillId="0" borderId="23" xfId="0" applyBorder="1"/>
    <xf numFmtId="0" fontId="0" fillId="0" borderId="30" xfId="0" applyBorder="1"/>
    <xf numFmtId="172" fontId="0" fillId="0" borderId="30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10" fontId="0" fillId="0" borderId="54" xfId="2" applyNumberFormat="1" applyFont="1" applyBorder="1"/>
    <xf numFmtId="0" fontId="12" fillId="0" borderId="52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164" fontId="3" fillId="0" borderId="0" xfId="0" applyNumberFormat="1" applyFont="1"/>
    <xf numFmtId="0" fontId="18" fillId="0" borderId="3" xfId="0" applyFont="1" applyBorder="1" applyAlignment="1" applyProtection="1">
      <alignment horizontal="left" vertical="center" wrapText="1"/>
      <protection locked="0"/>
    </xf>
    <xf numFmtId="165" fontId="5" fillId="2" borderId="3" xfId="3" applyFont="1" applyFill="1" applyBorder="1" applyAlignment="1">
      <alignment horizontal="center" vertical="center" wrapText="1"/>
    </xf>
    <xf numFmtId="173" fontId="21" fillId="18" borderId="0" xfId="7" applyNumberFormat="1" applyFont="1" applyFill="1"/>
    <xf numFmtId="0" fontId="21" fillId="18" borderId="0" xfId="7" applyFont="1" applyFill="1"/>
    <xf numFmtId="41" fontId="0" fillId="19" borderId="17" xfId="6" applyFont="1" applyFill="1" applyBorder="1"/>
    <xf numFmtId="44" fontId="12" fillId="0" borderId="3" xfId="5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173" fontId="31" fillId="0" borderId="0" xfId="0" applyNumberFormat="1" applyFont="1" applyAlignment="1">
      <alignment horizontal="center"/>
    </xf>
    <xf numFmtId="44" fontId="0" fillId="0" borderId="3" xfId="5" applyFont="1" applyBorder="1"/>
    <xf numFmtId="44" fontId="0" fillId="0" borderId="0" xfId="5" applyFont="1"/>
    <xf numFmtId="0" fontId="14" fillId="0" borderId="24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0" fillId="20" borderId="3" xfId="0" applyFill="1" applyBorder="1" applyAlignment="1">
      <alignment horizontal="center"/>
    </xf>
    <xf numFmtId="0" fontId="0" fillId="20" borderId="3" xfId="0" applyFill="1" applyBorder="1"/>
    <xf numFmtId="0" fontId="0" fillId="21" borderId="3" xfId="0" applyFill="1" applyBorder="1"/>
    <xf numFmtId="0" fontId="0" fillId="7" borderId="3" xfId="0" applyFill="1" applyBorder="1"/>
    <xf numFmtId="0" fontId="0" fillId="23" borderId="3" xfId="0" applyFill="1" applyBorder="1"/>
    <xf numFmtId="0" fontId="0" fillId="22" borderId="3" xfId="0" applyFill="1" applyBorder="1"/>
    <xf numFmtId="0" fontId="0" fillId="24" borderId="3" xfId="0" applyFill="1" applyBorder="1"/>
    <xf numFmtId="0" fontId="0" fillId="25" borderId="3" xfId="0" applyFill="1" applyBorder="1"/>
    <xf numFmtId="0" fontId="0" fillId="26" borderId="3" xfId="0" applyFill="1" applyBorder="1"/>
    <xf numFmtId="0" fontId="0" fillId="19" borderId="3" xfId="0" applyFill="1" applyBorder="1"/>
    <xf numFmtId="0" fontId="12" fillId="0" borderId="26" xfId="0" applyFont="1" applyBorder="1"/>
    <xf numFmtId="0" fontId="12" fillId="0" borderId="29" xfId="0" applyFont="1" applyBorder="1"/>
    <xf numFmtId="0" fontId="12" fillId="0" borderId="22" xfId="0" applyFont="1" applyBorder="1"/>
    <xf numFmtId="0" fontId="0" fillId="18" borderId="23" xfId="0" applyFill="1" applyBorder="1" applyAlignment="1">
      <alignment horizontal="center"/>
    </xf>
    <xf numFmtId="0" fontId="0" fillId="4" borderId="29" xfId="0" applyFill="1" applyBorder="1"/>
    <xf numFmtId="0" fontId="12" fillId="0" borderId="0" xfId="0" applyFont="1"/>
    <xf numFmtId="9" fontId="0" fillId="0" borderId="55" xfId="2" applyFont="1" applyBorder="1"/>
    <xf numFmtId="9" fontId="0" fillId="0" borderId="57" xfId="2" applyFont="1" applyBorder="1"/>
    <xf numFmtId="9" fontId="0" fillId="0" borderId="56" xfId="2" applyFont="1" applyBorder="1"/>
    <xf numFmtId="0" fontId="0" fillId="28" borderId="23" xfId="0" applyFill="1" applyBorder="1" applyAlignment="1">
      <alignment horizontal="center"/>
    </xf>
    <xf numFmtId="0" fontId="0" fillId="4" borderId="59" xfId="0" applyFill="1" applyBorder="1"/>
    <xf numFmtId="0" fontId="0" fillId="29" borderId="30" xfId="0" applyFill="1" applyBorder="1"/>
    <xf numFmtId="170" fontId="3" fillId="0" borderId="0" xfId="0" applyNumberFormat="1" applyFont="1"/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17" fillId="0" borderId="37" xfId="0" applyFont="1" applyBorder="1" applyAlignment="1">
      <alignment horizontal="left" vertical="center"/>
    </xf>
    <xf numFmtId="0" fontId="17" fillId="0" borderId="38" xfId="0" applyFont="1" applyBorder="1" applyAlignment="1">
      <alignment horizontal="left" vertical="center"/>
    </xf>
    <xf numFmtId="0" fontId="17" fillId="0" borderId="39" xfId="0" applyFont="1" applyBorder="1" applyAlignment="1">
      <alignment horizontal="left" vertical="center"/>
    </xf>
    <xf numFmtId="0" fontId="17" fillId="0" borderId="1" xfId="3" applyNumberFormat="1" applyFont="1" applyBorder="1" applyAlignment="1">
      <alignment horizontal="left" vertical="center"/>
    </xf>
    <xf numFmtId="0" fontId="17" fillId="0" borderId="2" xfId="3" applyNumberFormat="1" applyFont="1" applyBorder="1" applyAlignment="1">
      <alignment horizontal="left" vertical="center"/>
    </xf>
    <xf numFmtId="0" fontId="17" fillId="0" borderId="40" xfId="3" applyNumberFormat="1" applyFont="1" applyBorder="1" applyAlignment="1">
      <alignment horizontal="left" vertical="center"/>
    </xf>
    <xf numFmtId="0" fontId="17" fillId="0" borderId="41" xfId="3" applyNumberFormat="1" applyFont="1" applyBorder="1" applyAlignment="1">
      <alignment horizontal="left" vertical="center"/>
    </xf>
    <xf numFmtId="0" fontId="17" fillId="0" borderId="42" xfId="3" applyNumberFormat="1" applyFont="1" applyBorder="1" applyAlignment="1">
      <alignment horizontal="left" vertical="center"/>
    </xf>
    <xf numFmtId="0" fontId="17" fillId="0" borderId="43" xfId="3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165" fontId="5" fillId="2" borderId="3" xfId="3" applyFont="1" applyFill="1" applyBorder="1" applyAlignment="1">
      <alignment horizontal="center" vertical="center"/>
    </xf>
    <xf numFmtId="0" fontId="9" fillId="0" borderId="3" xfId="0" applyFont="1" applyBorder="1" applyAlignment="1">
      <alignment horizontal="right" vertical="center"/>
    </xf>
    <xf numFmtId="44" fontId="3" fillId="0" borderId="1" xfId="5" applyFont="1" applyBorder="1" applyAlignment="1">
      <alignment horizontal="center"/>
    </xf>
    <xf numFmtId="44" fontId="3" fillId="0" borderId="32" xfId="5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70" fontId="16" fillId="11" borderId="7" xfId="0" applyNumberFormat="1" applyFont="1" applyFill="1" applyBorder="1" applyAlignment="1">
      <alignment horizontal="center" vertical="center"/>
    </xf>
    <xf numFmtId="170" fontId="16" fillId="11" borderId="8" xfId="0" applyNumberFormat="1" applyFont="1" applyFill="1" applyBorder="1" applyAlignment="1">
      <alignment horizontal="center" vertical="center"/>
    </xf>
    <xf numFmtId="170" fontId="16" fillId="11" borderId="9" xfId="0" applyNumberFormat="1" applyFont="1" applyFill="1" applyBorder="1" applyAlignment="1">
      <alignment horizontal="center" vertical="center"/>
    </xf>
    <xf numFmtId="9" fontId="16" fillId="16" borderId="0" xfId="2" applyFont="1" applyFill="1" applyBorder="1" applyAlignment="1">
      <alignment horizontal="center" vertical="center"/>
    </xf>
    <xf numFmtId="0" fontId="16" fillId="10" borderId="7" xfId="0" applyFont="1" applyFill="1" applyBorder="1" applyAlignment="1">
      <alignment horizontal="center" vertical="center"/>
    </xf>
    <xf numFmtId="0" fontId="16" fillId="10" borderId="8" xfId="0" applyFont="1" applyFill="1" applyBorder="1" applyAlignment="1">
      <alignment horizontal="center" vertical="center"/>
    </xf>
    <xf numFmtId="0" fontId="16" fillId="10" borderId="9" xfId="0" applyFont="1" applyFill="1" applyBorder="1" applyAlignment="1">
      <alignment horizontal="center" vertical="center"/>
    </xf>
    <xf numFmtId="9" fontId="0" fillId="0" borderId="29" xfId="2" applyFont="1" applyBorder="1" applyAlignment="1">
      <alignment horizontal="center"/>
    </xf>
    <xf numFmtId="9" fontId="0" fillId="0" borderId="59" xfId="2" applyFont="1" applyBorder="1" applyAlignment="1">
      <alignment horizontal="center"/>
    </xf>
    <xf numFmtId="9" fontId="0" fillId="0" borderId="30" xfId="2" applyFont="1" applyBorder="1" applyAlignment="1">
      <alignment horizontal="center"/>
    </xf>
    <xf numFmtId="9" fontId="0" fillId="0" borderId="31" xfId="2" applyFont="1" applyBorder="1" applyAlignment="1">
      <alignment horizontal="center"/>
    </xf>
    <xf numFmtId="9" fontId="0" fillId="0" borderId="26" xfId="2" applyFont="1" applyBorder="1" applyAlignment="1">
      <alignment horizontal="center"/>
    </xf>
    <xf numFmtId="9" fontId="0" fillId="0" borderId="32" xfId="2" applyFont="1" applyBorder="1" applyAlignment="1">
      <alignment horizontal="center"/>
    </xf>
    <xf numFmtId="9" fontId="0" fillId="0" borderId="3" xfId="2" applyFont="1" applyBorder="1" applyAlignment="1">
      <alignment horizontal="center"/>
    </xf>
    <xf numFmtId="9" fontId="0" fillId="0" borderId="27" xfId="2" applyFont="1" applyBorder="1" applyAlignment="1">
      <alignment horizontal="center"/>
    </xf>
    <xf numFmtId="0" fontId="12" fillId="10" borderId="19" xfId="0" applyFont="1" applyFill="1" applyBorder="1" applyAlignment="1">
      <alignment horizontal="center"/>
    </xf>
    <xf numFmtId="0" fontId="12" fillId="10" borderId="58" xfId="0" applyFont="1" applyFill="1" applyBorder="1" applyAlignment="1">
      <alignment horizontal="center"/>
    </xf>
    <xf numFmtId="0" fontId="12" fillId="10" borderId="20" xfId="0" applyFont="1" applyFill="1" applyBorder="1" applyAlignment="1">
      <alignment horizontal="center"/>
    </xf>
    <xf numFmtId="0" fontId="12" fillId="10" borderId="21" xfId="0" applyFont="1" applyFill="1" applyBorder="1" applyAlignment="1">
      <alignment horizontal="center"/>
    </xf>
    <xf numFmtId="0" fontId="12" fillId="0" borderId="5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9" fontId="0" fillId="0" borderId="19" xfId="2" applyFont="1" applyBorder="1" applyAlignment="1">
      <alignment horizontal="center"/>
    </xf>
    <xf numFmtId="9" fontId="0" fillId="0" borderId="58" xfId="2" applyFont="1" applyBorder="1" applyAlignment="1">
      <alignment horizontal="center"/>
    </xf>
    <xf numFmtId="9" fontId="0" fillId="0" borderId="20" xfId="2" applyFont="1" applyBorder="1" applyAlignment="1">
      <alignment horizontal="center"/>
    </xf>
    <xf numFmtId="9" fontId="0" fillId="0" borderId="21" xfId="2" applyFont="1" applyBorder="1" applyAlignment="1">
      <alignment horizontal="center"/>
    </xf>
    <xf numFmtId="0" fontId="12" fillId="13" borderId="7" xfId="0" applyFont="1" applyFill="1" applyBorder="1" applyAlignment="1">
      <alignment horizontal="center" vertical="center"/>
    </xf>
    <xf numFmtId="0" fontId="12" fillId="13" borderId="8" xfId="0" applyFont="1" applyFill="1" applyBorder="1" applyAlignment="1">
      <alignment horizontal="center" vertical="center"/>
    </xf>
    <xf numFmtId="0" fontId="12" fillId="13" borderId="9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right"/>
    </xf>
    <xf numFmtId="0" fontId="12" fillId="0" borderId="8" xfId="0" applyFont="1" applyBorder="1" applyAlignment="1">
      <alignment horizontal="right"/>
    </xf>
    <xf numFmtId="0" fontId="12" fillId="0" borderId="9" xfId="0" applyFont="1" applyBorder="1" applyAlignment="1">
      <alignment horizontal="right"/>
    </xf>
    <xf numFmtId="0" fontId="0" fillId="27" borderId="7" xfId="0" applyFill="1" applyBorder="1" applyAlignment="1">
      <alignment horizontal="center"/>
    </xf>
    <xf numFmtId="0" fontId="0" fillId="27" borderId="8" xfId="0" applyFill="1" applyBorder="1" applyAlignment="1">
      <alignment horizontal="center"/>
    </xf>
    <xf numFmtId="0" fontId="0" fillId="27" borderId="9" xfId="0" applyFill="1" applyBorder="1" applyAlignment="1">
      <alignment horizontal="center"/>
    </xf>
    <xf numFmtId="41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41" fontId="0" fillId="0" borderId="30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0" fontId="12" fillId="0" borderId="14" xfId="0" applyFont="1" applyBorder="1" applyAlignment="1">
      <alignment horizontal="right"/>
    </xf>
    <xf numFmtId="0" fontId="12" fillId="0" borderId="15" xfId="0" applyFont="1" applyBorder="1" applyAlignment="1">
      <alignment horizontal="right"/>
    </xf>
    <xf numFmtId="0" fontId="12" fillId="0" borderId="16" xfId="0" applyFont="1" applyBorder="1" applyAlignment="1">
      <alignment horizontal="right"/>
    </xf>
    <xf numFmtId="0" fontId="0" fillId="7" borderId="0" xfId="0" applyFill="1" applyAlignment="1">
      <alignment horizontal="left"/>
    </xf>
    <xf numFmtId="41" fontId="0" fillId="7" borderId="0" xfId="0" applyNumberFormat="1" applyFill="1" applyAlignment="1">
      <alignment horizontal="center"/>
    </xf>
    <xf numFmtId="0" fontId="0" fillId="7" borderId="0" xfId="0" applyFill="1" applyAlignment="1">
      <alignment horizontal="center"/>
    </xf>
    <xf numFmtId="41" fontId="0" fillId="0" borderId="20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41" fontId="0" fillId="0" borderId="1" xfId="0" applyNumberFormat="1" applyBorder="1" applyAlignment="1">
      <alignment horizontal="center"/>
    </xf>
    <xf numFmtId="41" fontId="0" fillId="0" borderId="32" xfId="0" applyNumberFormat="1" applyBorder="1" applyAlignment="1">
      <alignment horizontal="center"/>
    </xf>
    <xf numFmtId="0" fontId="12" fillId="5" borderId="7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21" fillId="0" borderId="0" xfId="7" applyFont="1" applyAlignment="1">
      <alignment horizontal="center"/>
    </xf>
    <xf numFmtId="0" fontId="22" fillId="12" borderId="0" xfId="7" applyFont="1" applyFill="1" applyAlignment="1">
      <alignment horizontal="center" vertical="center"/>
    </xf>
    <xf numFmtId="0" fontId="29" fillId="13" borderId="4" xfId="7" applyFont="1" applyFill="1" applyBorder="1" applyAlignment="1">
      <alignment horizontal="center" vertical="center" wrapText="1"/>
    </xf>
    <xf numFmtId="0" fontId="29" fillId="13" borderId="0" xfId="7" applyFont="1" applyFill="1" applyAlignment="1">
      <alignment horizontal="center" vertical="center" wrapText="1"/>
    </xf>
    <xf numFmtId="0" fontId="26" fillId="6" borderId="47" xfId="7" applyFont="1" applyFill="1" applyBorder="1" applyAlignment="1">
      <alignment horizontal="left" vertical="center"/>
    </xf>
    <xf numFmtId="0" fontId="26" fillId="6" borderId="5" xfId="7" applyFont="1" applyFill="1" applyBorder="1" applyAlignment="1">
      <alignment horizontal="left" vertical="center"/>
    </xf>
    <xf numFmtId="0" fontId="26" fillId="6" borderId="4" xfId="7" applyFont="1" applyFill="1" applyBorder="1" applyAlignment="1">
      <alignment horizontal="left" vertical="center" wrapText="1"/>
    </xf>
    <xf numFmtId="0" fontId="26" fillId="6" borderId="0" xfId="7" applyFont="1" applyFill="1" applyAlignment="1">
      <alignment horizontal="left" vertical="center" wrapText="1"/>
    </xf>
    <xf numFmtId="0" fontId="12" fillId="17" borderId="36" xfId="0" applyFont="1" applyFill="1" applyBorder="1" applyAlignment="1">
      <alignment horizontal="center"/>
    </xf>
    <xf numFmtId="0" fontId="12" fillId="17" borderId="39" xfId="0" applyFont="1" applyFill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21" xfId="0" applyFont="1" applyBorder="1" applyAlignment="1">
      <alignment horizontal="center"/>
    </xf>
  </cellXfs>
  <cellStyles count="9">
    <cellStyle name="Millares" xfId="1" builtinId="3"/>
    <cellStyle name="Millares [0]" xfId="6" builtinId="6"/>
    <cellStyle name="Millares 2" xfId="4"/>
    <cellStyle name="Millares 3" xfId="3"/>
    <cellStyle name="Moneda" xfId="5" builtinId="4"/>
    <cellStyle name="Normal" xfId="0" builtinId="0"/>
    <cellStyle name="Normal 2" xfId="7"/>
    <cellStyle name="Porcentaje" xfId="2" builtinId="5"/>
    <cellStyle name="Porcentaje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885825</xdr:colOff>
      <xdr:row>62</xdr:row>
      <xdr:rowOff>161925</xdr:rowOff>
    </xdr:from>
    <xdr:to>
      <xdr:col>2</xdr:col>
      <xdr:colOff>3600450</xdr:colOff>
      <xdr:row>67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38DFC7F3-1B54-88E3-9508-17BFFC4738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62750" y="23031450"/>
          <a:ext cx="2714625" cy="952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777240</xdr:colOff>
      <xdr:row>14</xdr:row>
      <xdr:rowOff>0</xdr:rowOff>
    </xdr:from>
    <xdr:to>
      <xdr:col>7</xdr:col>
      <xdr:colOff>476772</xdr:colOff>
      <xdr:row>31</xdr:row>
      <xdr:rowOff>269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EBF3C371-67DA-4CA1-BCB0-058E46481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0190" y="2667000"/>
          <a:ext cx="5843157" cy="32387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365760</xdr:colOff>
      <xdr:row>3</xdr:row>
      <xdr:rowOff>186690</xdr:rowOff>
    </xdr:from>
    <xdr:to>
      <xdr:col>8</xdr:col>
      <xdr:colOff>76722</xdr:colOff>
      <xdr:row>31</xdr:row>
      <xdr:rowOff>141410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4A41BD13-4E0D-4687-A746-945A849CA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5760" y="758190"/>
          <a:ext cx="5806962" cy="5288720"/>
        </a:xfrm>
        <a:prstGeom prst="rect">
          <a:avLst/>
        </a:prstGeom>
      </xdr:spPr>
    </xdr:pic>
    <xdr:clientData/>
  </xdr:twoCellAnchor>
  <xdr:twoCellAnchor editAs="oneCell">
    <xdr:from>
      <xdr:col>8</xdr:col>
      <xdr:colOff>348615</xdr:colOff>
      <xdr:row>3</xdr:row>
      <xdr:rowOff>64770</xdr:rowOff>
    </xdr:from>
    <xdr:to>
      <xdr:col>14</xdr:col>
      <xdr:colOff>135646</xdr:colOff>
      <xdr:row>25</xdr:row>
      <xdr:rowOff>95601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9E24544-4CDF-4A81-80AE-94FE0FDD8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44615" y="636270"/>
          <a:ext cx="4359031" cy="422183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5557</xdr:rowOff>
    </xdr:from>
    <xdr:to>
      <xdr:col>27</xdr:col>
      <xdr:colOff>346876</xdr:colOff>
      <xdr:row>1</xdr:row>
      <xdr:rowOff>80680</xdr:rowOff>
    </xdr:to>
    <xdr:pic>
      <xdr:nvPicPr>
        <xdr:cNvPr id="2" name="Imagen 12">
          <a:extLst>
            <a:ext uri="{FF2B5EF4-FFF2-40B4-BE49-F238E27FC236}">
              <a16:creationId xmlns:a16="http://schemas.microsoft.com/office/drawing/2014/main" xmlns="" id="{BA2F000F-79C7-47D2-9F24-DB28D6439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 flipV="1">
          <a:off x="0" y="767557"/>
          <a:ext cx="13158001" cy="751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0</xdr:row>
      <xdr:rowOff>178593</xdr:rowOff>
    </xdr:from>
    <xdr:to>
      <xdr:col>21</xdr:col>
      <xdr:colOff>504824</xdr:colOff>
      <xdr:row>0</xdr:row>
      <xdr:rowOff>695324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xmlns="" id="{FB646731-A44F-40A0-9DBD-843820C29AF5}"/>
            </a:ext>
          </a:extLst>
        </xdr:cNvPr>
        <xdr:cNvGrpSpPr>
          <a:grpSpLocks/>
        </xdr:cNvGrpSpPr>
      </xdr:nvGrpSpPr>
      <xdr:grpSpPr bwMode="auto">
        <a:xfrm>
          <a:off x="133350" y="178593"/>
          <a:ext cx="8810624" cy="516731"/>
          <a:chOff x="366976" y="383517"/>
          <a:chExt cx="7615591" cy="332690"/>
        </a:xfrm>
      </xdr:grpSpPr>
      <xdr:pic>
        <xdr:nvPicPr>
          <xdr:cNvPr id="4" name="Imagen 17">
            <a:extLst>
              <a:ext uri="{FF2B5EF4-FFF2-40B4-BE49-F238E27FC236}">
                <a16:creationId xmlns:a16="http://schemas.microsoft.com/office/drawing/2014/main" xmlns="" id="{EF6CFEF7-D4A5-4D2C-A73C-B326BAC4CB2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6976" y="391183"/>
            <a:ext cx="1207853" cy="3250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Imagen 17">
            <a:extLst>
              <a:ext uri="{FF2B5EF4-FFF2-40B4-BE49-F238E27FC236}">
                <a16:creationId xmlns:a16="http://schemas.microsoft.com/office/drawing/2014/main" xmlns="" id="{5821BEFD-05DE-435E-A080-B58D7A5215F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571654" y="383517"/>
            <a:ext cx="1410913" cy="31134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485775</xdr:colOff>
      <xdr:row>0</xdr:row>
      <xdr:rowOff>85725</xdr:rowOff>
    </xdr:from>
    <xdr:to>
      <xdr:col>13</xdr:col>
      <xdr:colOff>695897</xdr:colOff>
      <xdr:row>21</xdr:row>
      <xdr:rowOff>10142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47C0A50E-599F-4396-8865-1F664D8AF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72425" y="85725"/>
          <a:ext cx="4096322" cy="4420217"/>
        </a:xfrm>
        <a:prstGeom prst="rect">
          <a:avLst/>
        </a:prstGeom>
      </xdr:spPr>
    </xdr:pic>
    <xdr:clientData/>
  </xdr:twoCellAnchor>
  <xdr:twoCellAnchor editAs="oneCell">
    <xdr:from>
      <xdr:col>14</xdr:col>
      <xdr:colOff>19050</xdr:colOff>
      <xdr:row>1</xdr:row>
      <xdr:rowOff>104775</xdr:rowOff>
    </xdr:from>
    <xdr:to>
      <xdr:col>19</xdr:col>
      <xdr:colOff>543530</xdr:colOff>
      <xdr:row>12</xdr:row>
      <xdr:rowOff>133684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34C9982C-BD2B-44A7-B17B-B903B1A3F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53900" y="295275"/>
          <a:ext cx="4334480" cy="2391109"/>
        </a:xfrm>
        <a:prstGeom prst="rect">
          <a:avLst/>
        </a:prstGeom>
      </xdr:spPr>
    </xdr:pic>
    <xdr:clientData/>
  </xdr:twoCellAnchor>
  <xdr:twoCellAnchor editAs="oneCell">
    <xdr:from>
      <xdr:col>20</xdr:col>
      <xdr:colOff>9525</xdr:colOff>
      <xdr:row>2</xdr:row>
      <xdr:rowOff>0</xdr:rowOff>
    </xdr:from>
    <xdr:to>
      <xdr:col>27</xdr:col>
      <xdr:colOff>172217</xdr:colOff>
      <xdr:row>15</xdr:row>
      <xdr:rowOff>67095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EC85A0-23A2-463F-A42D-465C3404F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716375" y="390525"/>
          <a:ext cx="5496692" cy="3010320"/>
        </a:xfrm>
        <a:prstGeom prst="rect">
          <a:avLst/>
        </a:prstGeom>
      </xdr:spPr>
    </xdr:pic>
    <xdr:clientData/>
  </xdr:twoCellAnchor>
  <xdr:twoCellAnchor editAs="oneCell">
    <xdr:from>
      <xdr:col>0</xdr:col>
      <xdr:colOff>704850</xdr:colOff>
      <xdr:row>18</xdr:row>
      <xdr:rowOff>133350</xdr:rowOff>
    </xdr:from>
    <xdr:to>
      <xdr:col>8</xdr:col>
      <xdr:colOff>305789</xdr:colOff>
      <xdr:row>29</xdr:row>
      <xdr:rowOff>124116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A470F0D6-B5CB-416A-A7BC-22286C9B9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04850" y="4057650"/>
          <a:ext cx="7087589" cy="2086266"/>
        </a:xfrm>
        <a:prstGeom prst="rect">
          <a:avLst/>
        </a:prstGeom>
      </xdr:spPr>
    </xdr:pic>
    <xdr:clientData/>
  </xdr:twoCellAnchor>
  <xdr:twoCellAnchor>
    <xdr:from>
      <xdr:col>3</xdr:col>
      <xdr:colOff>628650</xdr:colOff>
      <xdr:row>16</xdr:row>
      <xdr:rowOff>66675</xdr:rowOff>
    </xdr:from>
    <xdr:to>
      <xdr:col>5</xdr:col>
      <xdr:colOff>304800</xdr:colOff>
      <xdr:row>18</xdr:row>
      <xdr:rowOff>152400</xdr:rowOff>
    </xdr:to>
    <xdr:cxnSp macro="">
      <xdr:nvCxnSpPr>
        <xdr:cNvPr id="7" name="Conector recto de flecha 6">
          <a:extLst>
            <a:ext uri="{FF2B5EF4-FFF2-40B4-BE49-F238E27FC236}">
              <a16:creationId xmlns:a16="http://schemas.microsoft.com/office/drawing/2014/main" xmlns="" id="{DCA93F5C-D322-41F8-B619-BEE7802D2001}"/>
            </a:ext>
          </a:extLst>
        </xdr:cNvPr>
        <xdr:cNvCxnSpPr/>
      </xdr:nvCxnSpPr>
      <xdr:spPr>
        <a:xfrm flipV="1">
          <a:off x="3838575" y="3600450"/>
          <a:ext cx="1666875" cy="476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user\Downloads\costeo%20CONS%20MURO%20B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ana/AppData/Local/Microsoft/Windows/INetCache/Content.Outlook/XSLQP4IO/Salarios%20PPTO%20BI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USUARIOS"/>
      <sheetName val="PERSONAL"/>
      <sheetName val="LISTAS DESPLEGABLES"/>
      <sheetName val="ANEXO 1 -OTROS CONCEPTOS"/>
      <sheetName val="IMPUESTOS"/>
      <sheetName val="FM"/>
      <sheetName val="AIU"/>
      <sheetName val="TOTAL OBRA"/>
      <sheetName val="COSTEO FM"/>
      <sheetName val="IPC"/>
      <sheetName val="BASE DE PRECIOS"/>
      <sheetName val="FP VERSIÓN 2"/>
      <sheetName val="Info Ensayos"/>
    </sheetNames>
    <sheetDataSet>
      <sheetData sheetId="0">
        <row r="2">
          <cell r="A2" t="str">
            <v>JALM</v>
          </cell>
        </row>
        <row r="3">
          <cell r="A3" t="str">
            <v>MECT</v>
          </cell>
        </row>
        <row r="4">
          <cell r="A4" t="str">
            <v>AMAM</v>
          </cell>
        </row>
        <row r="5">
          <cell r="A5" t="str">
            <v>APFZ</v>
          </cell>
        </row>
        <row r="6">
          <cell r="A6" t="str">
            <v>DCCP</v>
          </cell>
        </row>
        <row r="7">
          <cell r="A7" t="str">
            <v>GRC</v>
          </cell>
        </row>
        <row r="8">
          <cell r="A8" t="str">
            <v>JMVC</v>
          </cell>
        </row>
        <row r="9">
          <cell r="A9" t="str">
            <v>JLDR</v>
          </cell>
        </row>
        <row r="10">
          <cell r="A10" t="str">
            <v>JCRP</v>
          </cell>
        </row>
        <row r="11">
          <cell r="A11" t="str">
            <v>LASM</v>
          </cell>
        </row>
        <row r="12">
          <cell r="A12" t="str">
            <v>MGCO</v>
          </cell>
        </row>
        <row r="13">
          <cell r="A13" t="str">
            <v>AFVF</v>
          </cell>
        </row>
      </sheetData>
      <sheetData sheetId="1"/>
      <sheetData sheetId="2">
        <row r="2">
          <cell r="F2" t="str">
            <v>Interventoría de obra</v>
          </cell>
        </row>
        <row r="3">
          <cell r="F3" t="str">
            <v>Interventoría de Consultoría</v>
          </cell>
        </row>
        <row r="4">
          <cell r="F4" t="str">
            <v>Consultoría</v>
          </cell>
        </row>
        <row r="5">
          <cell r="F5" t="str">
            <v>Gerencia</v>
          </cell>
        </row>
        <row r="15">
          <cell r="F15" t="str">
            <v>Directa</v>
          </cell>
        </row>
        <row r="16">
          <cell r="F16" t="str">
            <v>Pública</v>
          </cell>
        </row>
        <row r="20">
          <cell r="F20" t="str">
            <v>P. Natural</v>
          </cell>
        </row>
        <row r="21">
          <cell r="F21" t="str">
            <v>P. Jurídica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C3" t="str">
            <v>Categoría 1</v>
          </cell>
        </row>
        <row r="4">
          <cell r="C4" t="str">
            <v>Categoría 2</v>
          </cell>
        </row>
        <row r="5">
          <cell r="C5" t="str">
            <v>Categoría 3</v>
          </cell>
        </row>
        <row r="6">
          <cell r="C6" t="str">
            <v>Categoría 4</v>
          </cell>
        </row>
        <row r="7">
          <cell r="C7" t="str">
            <v>Categoría 5</v>
          </cell>
        </row>
        <row r="8">
          <cell r="C8" t="str">
            <v>Categoría 6</v>
          </cell>
        </row>
        <row r="9">
          <cell r="C9" t="str">
            <v>Categoría 7</v>
          </cell>
        </row>
        <row r="10">
          <cell r="C10" t="str">
            <v>Categoría 8</v>
          </cell>
        </row>
        <row r="11">
          <cell r="C11" t="str">
            <v>Categoría 9</v>
          </cell>
        </row>
        <row r="12">
          <cell r="C12" t="str">
            <v>Auxiliar Administrativo</v>
          </cell>
        </row>
        <row r="13">
          <cell r="C13" t="str">
            <v>Mensajero</v>
          </cell>
        </row>
        <row r="14">
          <cell r="C14" t="str">
            <v>Secretaria</v>
          </cell>
        </row>
        <row r="15">
          <cell r="C15" t="str">
            <v>Celador (Aux.Admin)</v>
          </cell>
        </row>
        <row r="16">
          <cell r="C16" t="str">
            <v>Conductor</v>
          </cell>
        </row>
        <row r="34">
          <cell r="B34" t="str">
            <v xml:space="preserve">Director </v>
          </cell>
        </row>
        <row r="35">
          <cell r="B35" t="str">
            <v>Director Residente</v>
          </cell>
        </row>
        <row r="36">
          <cell r="B36" t="str">
            <v>Coordinador de calidad</v>
          </cell>
        </row>
        <row r="37">
          <cell r="B37" t="str">
            <v>Profesional de apoyo</v>
          </cell>
        </row>
        <row r="38">
          <cell r="B38" t="str">
            <v>Esp. Transito y Transporte</v>
          </cell>
        </row>
        <row r="39">
          <cell r="B39" t="str">
            <v>Esp. en PMT</v>
          </cell>
        </row>
        <row r="40">
          <cell r="B40" t="str">
            <v>Esp. Diseño Geom. Vías</v>
          </cell>
        </row>
        <row r="41">
          <cell r="B41" t="str">
            <v>Esp. Geotecnia</v>
          </cell>
        </row>
        <row r="42">
          <cell r="B42" t="str">
            <v>Esp. Hidráulico</v>
          </cell>
        </row>
        <row r="43">
          <cell r="B43" t="str">
            <v>Esp. Electrico</v>
          </cell>
        </row>
        <row r="44">
          <cell r="B44" t="str">
            <v>Residente de obra</v>
          </cell>
        </row>
        <row r="45">
          <cell r="B45" t="str">
            <v>Residente Interventoría</v>
          </cell>
        </row>
        <row r="46">
          <cell r="B46" t="str">
            <v>Esp. Estructural</v>
          </cell>
        </row>
        <row r="47">
          <cell r="B47" t="str">
            <v>Ing. Civil</v>
          </cell>
        </row>
        <row r="48">
          <cell r="B48" t="str">
            <v>Ing. Mecánico</v>
          </cell>
        </row>
        <row r="49">
          <cell r="B49" t="str">
            <v>Ing. Eléctrico</v>
          </cell>
        </row>
        <row r="50">
          <cell r="B50" t="str">
            <v>Ing. Electrónico</v>
          </cell>
        </row>
        <row r="51">
          <cell r="B51" t="str">
            <v>Esp. Ambiental</v>
          </cell>
        </row>
        <row r="52">
          <cell r="B52" t="str">
            <v>Ing. Ambiental</v>
          </cell>
        </row>
        <row r="53">
          <cell r="B53" t="str">
            <v>Ing. Forestal</v>
          </cell>
        </row>
        <row r="54">
          <cell r="B54" t="str">
            <v>Profesional Social</v>
          </cell>
        </row>
        <row r="55">
          <cell r="B55" t="str">
            <v>Ing. Catastral</v>
          </cell>
        </row>
        <row r="56">
          <cell r="B56" t="str">
            <v>Abogado</v>
          </cell>
        </row>
        <row r="57">
          <cell r="B57" t="str">
            <v>Arquitecto</v>
          </cell>
        </row>
        <row r="58">
          <cell r="B58" t="str">
            <v>Arqueólogo</v>
          </cell>
        </row>
        <row r="59">
          <cell r="B59" t="str">
            <v>Biólogo</v>
          </cell>
        </row>
        <row r="60">
          <cell r="B60" t="str">
            <v>Ing. Presupuestos y programación (Consultorias e Inter. Consultoria) NS-048 Y NS-172</v>
          </cell>
        </row>
        <row r="61">
          <cell r="B61" t="str">
            <v>Ing. Control de Costos y Programación (Obra) NS-048 Y NS-172</v>
          </cell>
        </row>
        <row r="62">
          <cell r="B62" t="str">
            <v>Ing. Anexos Técnicos</v>
          </cell>
        </row>
        <row r="63">
          <cell r="B63" t="str">
            <v>Profesional SST</v>
          </cell>
        </row>
        <row r="64">
          <cell r="B64" t="str">
            <v>Otro (especifique en observaciones)</v>
          </cell>
        </row>
        <row r="65">
          <cell r="B65" t="str">
            <v>Auditor Interno</v>
          </cell>
        </row>
        <row r="66">
          <cell r="B66" t="str">
            <v>Asesor Juridico</v>
          </cell>
        </row>
        <row r="67">
          <cell r="B67" t="str">
            <v>Asesor Calidad</v>
          </cell>
        </row>
        <row r="68">
          <cell r="B68" t="str">
            <v>Profesional Calidad</v>
          </cell>
        </row>
        <row r="69">
          <cell r="B69" t="str">
            <v>Diseñador Gráfico</v>
          </cell>
        </row>
        <row r="71">
          <cell r="B71" t="str">
            <v>Tecnólogo</v>
          </cell>
        </row>
        <row r="72">
          <cell r="B72" t="str">
            <v>Auxiliar de ingeniería</v>
          </cell>
        </row>
        <row r="73">
          <cell r="B73" t="str">
            <v>Dibujante</v>
          </cell>
        </row>
        <row r="74">
          <cell r="B74" t="str">
            <v>Almacenista</v>
          </cell>
        </row>
        <row r="75">
          <cell r="B75" t="str">
            <v>Inspector 1</v>
          </cell>
        </row>
        <row r="76">
          <cell r="B76" t="str">
            <v>Topógrafo</v>
          </cell>
        </row>
        <row r="77">
          <cell r="B77" t="str">
            <v>Cadenero 1</v>
          </cell>
        </row>
        <row r="78">
          <cell r="B78" t="str">
            <v>Cadenero 2</v>
          </cell>
        </row>
        <row r="79">
          <cell r="B79" t="str">
            <v>Batimetrista</v>
          </cell>
        </row>
        <row r="80">
          <cell r="B80" t="str">
            <v>Laboratorista</v>
          </cell>
        </row>
        <row r="82">
          <cell r="B82" t="str">
            <v>Abogado</v>
          </cell>
        </row>
        <row r="83">
          <cell r="B83" t="str">
            <v>Contador</v>
          </cell>
        </row>
        <row r="84">
          <cell r="B84" t="str">
            <v>Revisor Fiscal</v>
          </cell>
        </row>
        <row r="85">
          <cell r="B85" t="str">
            <v>Auditor Interno</v>
          </cell>
        </row>
        <row r="86">
          <cell r="B86" t="str">
            <v>Asesor Juridico</v>
          </cell>
        </row>
        <row r="87">
          <cell r="B87" t="str">
            <v>Asesor Calidad</v>
          </cell>
        </row>
        <row r="88">
          <cell r="B88" t="str">
            <v>Auxiliar administrativo</v>
          </cell>
        </row>
        <row r="89">
          <cell r="B89" t="str">
            <v>Secretaria</v>
          </cell>
        </row>
        <row r="90">
          <cell r="B90" t="str">
            <v>Mensajero</v>
          </cell>
        </row>
        <row r="91">
          <cell r="B91" t="str">
            <v>Conductor</v>
          </cell>
        </row>
        <row r="92">
          <cell r="B92" t="str">
            <v>Celador (Aux.Admin)</v>
          </cell>
        </row>
        <row r="93">
          <cell r="B93" t="str">
            <v>Aseo</v>
          </cell>
        </row>
        <row r="98">
          <cell r="B98" t="str">
            <v>Administración ($/mes)</v>
          </cell>
        </row>
        <row r="99">
          <cell r="B99" t="str">
            <v>Arrendamiento ($/mes)</v>
          </cell>
        </row>
        <row r="100">
          <cell r="B100" t="str">
            <v>Computador + Programas ($/mes)</v>
          </cell>
        </row>
        <row r="101">
          <cell r="B101" t="str">
            <v>Muebles ($/mes)</v>
          </cell>
        </row>
        <row r="102">
          <cell r="B102" t="str">
            <v>Papelería ($/mes)</v>
          </cell>
        </row>
        <row r="103">
          <cell r="B103" t="str">
            <v>Ploteo de Planos ($/und)</v>
          </cell>
        </row>
        <row r="104">
          <cell r="B104" t="str">
            <v>Celular + Plan voz y datos ($/mes)</v>
          </cell>
        </row>
        <row r="105">
          <cell r="B105" t="str">
            <v>Servicios públicos ($/mes)</v>
          </cell>
        </row>
        <row r="106">
          <cell r="B106" t="str">
            <v>Servicio Celaduria (24 hr)</v>
          </cell>
        </row>
        <row r="107">
          <cell r="B107" t="str">
            <v>Copias y Fotografías ($/mes)</v>
          </cell>
        </row>
        <row r="109">
          <cell r="B109" t="str">
            <v>Campero, Pick-up, Camioneta, capacidad 5 personas, incluye combustible, no incluye conductor</v>
          </cell>
        </row>
        <row r="110">
          <cell r="B110" t="str">
            <v>Carrotanque</v>
          </cell>
        </row>
        <row r="111">
          <cell r="B111" t="str">
            <v>Vehiculos con capacidad de carga de hasta 3 toneladas y media.</v>
          </cell>
        </row>
        <row r="112">
          <cell r="B112" t="str">
            <v>Vehiculos con capacidad de carga de hasta 7 toneladas</v>
          </cell>
        </row>
        <row r="113">
          <cell r="B113" t="str">
            <v>Estación Total de Topografía</v>
          </cell>
        </row>
        <row r="114">
          <cell r="B114" t="str">
            <v>Nivel de Topografía</v>
          </cell>
        </row>
      </sheetData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rios CCI"/>
      <sheetName val="IndicesIPC"/>
      <sheetName val="Res. 747 Min Tpte"/>
    </sheetNames>
    <sheetDataSet>
      <sheetData sheetId="0" refreshError="1"/>
      <sheetData sheetId="1">
        <row r="19">
          <cell r="W19">
            <v>1.7482383087764253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6"/>
  <sheetViews>
    <sheetView tabSelected="1" topLeftCell="A58" zoomScale="70" zoomScaleNormal="70" workbookViewId="0">
      <selection activeCell="E72" sqref="E72"/>
    </sheetView>
  </sheetViews>
  <sheetFormatPr baseColWidth="10" defaultColWidth="10.85546875" defaultRowHeight="15" x14ac:dyDescent="0.25"/>
  <cols>
    <col min="1" max="1" width="10.85546875" style="1"/>
    <col min="2" max="2" width="77.28515625" style="1" customWidth="1"/>
    <col min="3" max="3" width="63.140625" style="1" customWidth="1"/>
    <col min="4" max="4" width="17.85546875" style="1" customWidth="1"/>
    <col min="5" max="5" width="19.140625" style="1" customWidth="1"/>
    <col min="6" max="6" width="18.85546875" style="1" customWidth="1"/>
    <col min="7" max="7" width="13.7109375" style="1" bestFit="1" customWidth="1"/>
    <col min="8" max="8" width="20.28515625" style="1" customWidth="1"/>
    <col min="9" max="11" width="27" style="1" customWidth="1"/>
    <col min="12" max="12" width="24.5703125" style="1" customWidth="1"/>
    <col min="13" max="13" width="10.85546875" style="6"/>
    <col min="14" max="14" width="27.7109375" style="1" customWidth="1"/>
    <col min="15" max="15" width="28.42578125" style="1" customWidth="1"/>
    <col min="16" max="16384" width="10.85546875" style="1"/>
  </cols>
  <sheetData>
    <row r="1" spans="2:14" ht="15.75" thickBot="1" x14ac:dyDescent="0.3"/>
    <row r="2" spans="2:14" ht="79.5" customHeight="1" thickBot="1" x14ac:dyDescent="0.3">
      <c r="B2" s="208" t="s">
        <v>0</v>
      </c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10"/>
    </row>
    <row r="3" spans="2:14" ht="48" customHeight="1" thickBot="1" x14ac:dyDescent="0.3">
      <c r="B3" s="12"/>
      <c r="C3" s="12"/>
      <c r="D3" s="13"/>
      <c r="E3" s="14"/>
      <c r="F3" s="14"/>
      <c r="G3" s="14"/>
      <c r="H3" s="14"/>
    </row>
    <row r="4" spans="2:14" ht="27.75" customHeight="1" x14ac:dyDescent="0.25">
      <c r="B4" s="73" t="s">
        <v>1</v>
      </c>
      <c r="C4" s="214" t="s">
        <v>2</v>
      </c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6"/>
    </row>
    <row r="5" spans="2:14" ht="24.75" customHeight="1" x14ac:dyDescent="0.25">
      <c r="B5" s="74" t="s">
        <v>3</v>
      </c>
      <c r="C5" s="217" t="s">
        <v>4</v>
      </c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9"/>
    </row>
    <row r="6" spans="2:14" ht="27.75" customHeight="1" x14ac:dyDescent="0.25">
      <c r="B6" s="74" t="s">
        <v>5</v>
      </c>
      <c r="C6" s="217" t="s">
        <v>6</v>
      </c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9"/>
    </row>
    <row r="7" spans="2:14" ht="27.75" customHeight="1" thickBot="1" x14ac:dyDescent="0.3">
      <c r="B7" s="75" t="s">
        <v>7</v>
      </c>
      <c r="C7" s="220">
        <v>3</v>
      </c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2"/>
    </row>
    <row r="10" spans="2:14" ht="39" customHeight="1" x14ac:dyDescent="0.25">
      <c r="B10" s="223" t="s">
        <v>8</v>
      </c>
      <c r="C10" s="224"/>
      <c r="D10" s="224"/>
      <c r="E10" s="224"/>
      <c r="F10" s="224"/>
      <c r="G10" s="224"/>
      <c r="H10" s="224"/>
      <c r="I10" s="224"/>
      <c r="J10" s="224"/>
      <c r="K10" s="224"/>
      <c r="L10" s="224"/>
      <c r="M10" s="224"/>
      <c r="N10" s="225"/>
    </row>
    <row r="11" spans="2:14" ht="45" x14ac:dyDescent="0.25">
      <c r="B11" s="16" t="s">
        <v>9</v>
      </c>
      <c r="C11" s="16" t="s">
        <v>10</v>
      </c>
      <c r="D11" s="4" t="s">
        <v>11</v>
      </c>
      <c r="E11" s="168" t="s">
        <v>12</v>
      </c>
      <c r="F11" s="84" t="s">
        <v>13</v>
      </c>
      <c r="G11" s="16" t="s">
        <v>14</v>
      </c>
      <c r="H11" s="84" t="s">
        <v>15</v>
      </c>
      <c r="I11" s="84" t="s">
        <v>16</v>
      </c>
      <c r="J11" s="86" t="s">
        <v>17</v>
      </c>
      <c r="K11" s="212" t="s">
        <v>18</v>
      </c>
      <c r="L11" s="213"/>
      <c r="M11" s="4" t="s">
        <v>19</v>
      </c>
      <c r="N11" s="4"/>
    </row>
    <row r="12" spans="2:14" ht="31.5" x14ac:dyDescent="0.25">
      <c r="B12" s="81" t="s">
        <v>20</v>
      </c>
      <c r="C12" s="167" t="s">
        <v>21</v>
      </c>
      <c r="D12" s="3">
        <v>1</v>
      </c>
      <c r="E12" s="48" t="s">
        <v>22</v>
      </c>
      <c r="F12" s="49">
        <v>0.15</v>
      </c>
      <c r="G12" s="5">
        <v>3</v>
      </c>
      <c r="H12" s="5">
        <f>F12*G12</f>
        <v>0.44999999999999996</v>
      </c>
      <c r="I12" s="50">
        <v>8730000</v>
      </c>
      <c r="J12" s="85">
        <v>0.74823830999999996</v>
      </c>
      <c r="K12" s="50">
        <f>(I12*J12)+I12</f>
        <v>15262120.4463</v>
      </c>
      <c r="L12" s="50">
        <f>K12*H12</f>
        <v>6867954.2008349989</v>
      </c>
      <c r="M12" s="51">
        <f>'Factor multiplicador (Anexo 2)'!F16</f>
        <v>2.2029000000000001</v>
      </c>
      <c r="N12" s="70">
        <f>L12*M12</f>
        <v>15129416.30901942</v>
      </c>
    </row>
    <row r="13" spans="2:14" ht="31.5" x14ac:dyDescent="0.25">
      <c r="B13" s="81" t="s">
        <v>23</v>
      </c>
      <c r="C13" s="167" t="s">
        <v>21</v>
      </c>
      <c r="D13" s="3">
        <v>1</v>
      </c>
      <c r="E13" s="48" t="s">
        <v>24</v>
      </c>
      <c r="F13" s="49">
        <v>0.15</v>
      </c>
      <c r="G13" s="5">
        <v>3</v>
      </c>
      <c r="H13" s="5">
        <f t="shared" ref="H13:H15" si="0">F13*G13</f>
        <v>0.44999999999999996</v>
      </c>
      <c r="I13" s="50">
        <v>6653000</v>
      </c>
      <c r="J13" s="85">
        <v>0.74823830999999996</v>
      </c>
      <c r="K13" s="50">
        <f t="shared" ref="K13:K15" si="1">(I13*J13)+I13</f>
        <v>11631029.476429999</v>
      </c>
      <c r="L13" s="50">
        <f>K13*H13</f>
        <v>5233963.2643934991</v>
      </c>
      <c r="M13" s="51">
        <f>'Factor multiplicador (Anexo 2)'!F16</f>
        <v>2.2029000000000001</v>
      </c>
      <c r="N13" s="70">
        <f>L13*M13</f>
        <v>11529897.67513244</v>
      </c>
    </row>
    <row r="14" spans="2:14" ht="31.5" x14ac:dyDescent="0.25">
      <c r="B14" s="81" t="s">
        <v>25</v>
      </c>
      <c r="C14" s="167" t="s">
        <v>21</v>
      </c>
      <c r="D14" s="3">
        <v>1</v>
      </c>
      <c r="E14" s="48" t="s">
        <v>24</v>
      </c>
      <c r="F14" s="49">
        <v>0.25</v>
      </c>
      <c r="G14" s="5">
        <v>3</v>
      </c>
      <c r="H14" s="5">
        <f t="shared" si="0"/>
        <v>0.75</v>
      </c>
      <c r="I14" s="50">
        <v>6653000</v>
      </c>
      <c r="J14" s="85">
        <v>0.74823830999999996</v>
      </c>
      <c r="K14" s="50">
        <f t="shared" si="1"/>
        <v>11631029.476429999</v>
      </c>
      <c r="L14" s="50">
        <f>K14*H14</f>
        <v>8723272.1073224992</v>
      </c>
      <c r="M14" s="51">
        <f>'Factor multiplicador (Anexo 2)'!F16</f>
        <v>2.2029000000000001</v>
      </c>
      <c r="N14" s="70">
        <f>L14*M14</f>
        <v>19216496.125220735</v>
      </c>
    </row>
    <row r="15" spans="2:14" ht="31.5" x14ac:dyDescent="0.25">
      <c r="B15" s="81" t="s">
        <v>26</v>
      </c>
      <c r="C15" s="167" t="s">
        <v>21</v>
      </c>
      <c r="D15" s="3">
        <v>1</v>
      </c>
      <c r="E15" s="48" t="s">
        <v>24</v>
      </c>
      <c r="F15" s="49">
        <v>0.25</v>
      </c>
      <c r="G15" s="5">
        <v>3</v>
      </c>
      <c r="H15" s="5">
        <f t="shared" si="0"/>
        <v>0.75</v>
      </c>
      <c r="I15" s="50">
        <v>6653000</v>
      </c>
      <c r="J15" s="85">
        <v>0.74823830999999996</v>
      </c>
      <c r="K15" s="50">
        <f t="shared" si="1"/>
        <v>11631029.476429999</v>
      </c>
      <c r="L15" s="50">
        <f>K15*H15</f>
        <v>8723272.1073224992</v>
      </c>
      <c r="M15" s="51">
        <f>'Factor multiplicador (Anexo 2)'!F16</f>
        <v>2.2029000000000001</v>
      </c>
      <c r="N15" s="70">
        <f>L15*M15</f>
        <v>19216496.125220735</v>
      </c>
    </row>
    <row r="16" spans="2:14" ht="25.5" customHeight="1" x14ac:dyDescent="0.25">
      <c r="B16" s="227" t="s">
        <v>27</v>
      </c>
      <c r="C16" s="227"/>
      <c r="D16" s="227"/>
      <c r="E16" s="227"/>
      <c r="F16" s="227"/>
      <c r="G16" s="227"/>
      <c r="H16" s="227"/>
      <c r="I16" s="227"/>
      <c r="J16" s="227"/>
      <c r="K16" s="227"/>
      <c r="L16" s="227"/>
      <c r="M16" s="227"/>
      <c r="N16" s="71">
        <f>SUM(N12:N15)</f>
        <v>65092306.234593332</v>
      </c>
    </row>
    <row r="17" spans="2:15" ht="39" customHeight="1" x14ac:dyDescent="0.25">
      <c r="B17" s="232" t="s">
        <v>28</v>
      </c>
      <c r="C17" s="233"/>
      <c r="D17" s="233"/>
      <c r="M17" s="1"/>
    </row>
    <row r="18" spans="2:15" ht="72" customHeight="1" x14ac:dyDescent="0.25">
      <c r="B18" s="16" t="s">
        <v>9</v>
      </c>
      <c r="C18" s="16" t="s">
        <v>10</v>
      </c>
      <c r="D18" s="4" t="s">
        <v>11</v>
      </c>
      <c r="E18" s="4" t="s">
        <v>29</v>
      </c>
      <c r="F18" s="84" t="s">
        <v>13</v>
      </c>
      <c r="G18" s="16" t="s">
        <v>14</v>
      </c>
      <c r="H18" s="84" t="s">
        <v>15</v>
      </c>
      <c r="I18" s="84" t="s">
        <v>16</v>
      </c>
      <c r="J18" s="86" t="s">
        <v>17</v>
      </c>
      <c r="K18" s="212" t="s">
        <v>18</v>
      </c>
      <c r="L18" s="213"/>
      <c r="M18" s="4" t="s">
        <v>19</v>
      </c>
      <c r="N18" s="4" t="s">
        <v>30</v>
      </c>
    </row>
    <row r="19" spans="2:15" ht="31.5" x14ac:dyDescent="0.25">
      <c r="B19" s="82" t="s">
        <v>31</v>
      </c>
      <c r="C19" s="167" t="s">
        <v>21</v>
      </c>
      <c r="D19" s="3">
        <v>1</v>
      </c>
      <c r="E19" s="48" t="s">
        <v>32</v>
      </c>
      <c r="F19" s="54">
        <v>0.2</v>
      </c>
      <c r="G19" s="98">
        <v>0.5</v>
      </c>
      <c r="H19" s="48">
        <f t="shared" ref="H19:H21" si="2">F19*G19</f>
        <v>0.1</v>
      </c>
      <c r="I19" s="56">
        <v>1874000</v>
      </c>
      <c r="J19" s="85">
        <v>0.74823830999999996</v>
      </c>
      <c r="K19" s="56">
        <f t="shared" ref="K19:K20" si="3">(I19*J19)+I19</f>
        <v>3276198.5929399999</v>
      </c>
      <c r="L19" s="57">
        <f t="shared" ref="L19:L20" si="4">H19*K19</f>
        <v>327619.85929400002</v>
      </c>
      <c r="M19" s="51">
        <f>'Factor multiplicador (Anexo 2)'!F16</f>
        <v>2.2029000000000001</v>
      </c>
      <c r="N19" s="58">
        <f>L19*M19</f>
        <v>721713.78803875262</v>
      </c>
    </row>
    <row r="20" spans="2:15" ht="31.5" x14ac:dyDescent="0.25">
      <c r="B20" s="82" t="s">
        <v>33</v>
      </c>
      <c r="C20" s="167" t="s">
        <v>21</v>
      </c>
      <c r="D20" s="3">
        <v>1</v>
      </c>
      <c r="E20" s="48" t="s">
        <v>32</v>
      </c>
      <c r="F20" s="54">
        <v>0.2</v>
      </c>
      <c r="G20" s="98">
        <v>0.5</v>
      </c>
      <c r="H20" s="48">
        <f t="shared" si="2"/>
        <v>0.1</v>
      </c>
      <c r="I20" s="56">
        <v>1164000</v>
      </c>
      <c r="J20" s="85">
        <v>0.74823830999999996</v>
      </c>
      <c r="K20" s="56">
        <f t="shared" si="3"/>
        <v>2034949.3928399999</v>
      </c>
      <c r="L20" s="57">
        <f t="shared" si="4"/>
        <v>203494.93928399999</v>
      </c>
      <c r="M20" s="51">
        <f>'Factor multiplicador (Anexo 2)'!F16</f>
        <v>2.2029000000000001</v>
      </c>
      <c r="N20" s="58">
        <f>L20*M20</f>
        <v>448279.00174872362</v>
      </c>
    </row>
    <row r="21" spans="2:15" ht="31.5" x14ac:dyDescent="0.25">
      <c r="B21" s="82" t="s">
        <v>34</v>
      </c>
      <c r="C21" s="167" t="s">
        <v>21</v>
      </c>
      <c r="D21" s="3">
        <v>1</v>
      </c>
      <c r="E21" s="48" t="s">
        <v>35</v>
      </c>
      <c r="F21" s="54">
        <v>0.2</v>
      </c>
      <c r="G21" s="98">
        <v>3</v>
      </c>
      <c r="H21" s="48">
        <f t="shared" si="2"/>
        <v>0.60000000000000009</v>
      </c>
      <c r="I21" s="56">
        <v>2743000</v>
      </c>
      <c r="J21" s="85">
        <v>0.74823830999999996</v>
      </c>
      <c r="K21" s="56">
        <f t="shared" ref="K21" si="5">(I21*J21)+I21</f>
        <v>4795417.6843299996</v>
      </c>
      <c r="L21" s="57">
        <f t="shared" ref="L21" si="6">H21*K21</f>
        <v>2877250.6105980002</v>
      </c>
      <c r="M21" s="51">
        <f>'Factor multiplicador (Anexo 2)'!F16</f>
        <v>2.2029000000000001</v>
      </c>
      <c r="N21" s="58">
        <f>L21*M21</f>
        <v>6338295.3700863346</v>
      </c>
    </row>
    <row r="22" spans="2:15" ht="32.25" customHeight="1" x14ac:dyDescent="0.25">
      <c r="B22" s="227" t="s">
        <v>27</v>
      </c>
      <c r="C22" s="227"/>
      <c r="D22" s="227"/>
      <c r="E22" s="227"/>
      <c r="F22" s="227"/>
      <c r="G22" s="227"/>
      <c r="H22" s="227"/>
      <c r="I22" s="227"/>
      <c r="J22" s="227"/>
      <c r="K22" s="227"/>
      <c r="L22" s="227"/>
      <c r="M22" s="227"/>
      <c r="N22" s="71">
        <f>SUM(N19:N21)</f>
        <v>7508288.1598738106</v>
      </c>
    </row>
    <row r="23" spans="2:15" ht="51.95" customHeight="1" x14ac:dyDescent="0.25">
      <c r="B23" s="232" t="s">
        <v>36</v>
      </c>
      <c r="C23" s="233"/>
      <c r="D23" s="233"/>
      <c r="E23" s="52"/>
      <c r="F23" s="53"/>
      <c r="O23" s="166"/>
    </row>
    <row r="24" spans="2:15" ht="51.95" customHeight="1" x14ac:dyDescent="0.25">
      <c r="B24" s="16" t="s">
        <v>9</v>
      </c>
      <c r="C24" s="16" t="s">
        <v>10</v>
      </c>
      <c r="D24" s="4" t="s">
        <v>11</v>
      </c>
      <c r="E24" s="4" t="s">
        <v>29</v>
      </c>
      <c r="F24" s="16" t="s">
        <v>37</v>
      </c>
      <c r="G24" s="16" t="s">
        <v>14</v>
      </c>
      <c r="H24" s="84" t="s">
        <v>15</v>
      </c>
      <c r="I24" s="84" t="s">
        <v>38</v>
      </c>
      <c r="J24" s="86" t="s">
        <v>39</v>
      </c>
      <c r="K24" s="212" t="s">
        <v>40</v>
      </c>
      <c r="L24" s="213"/>
      <c r="M24" s="4"/>
      <c r="N24" s="4" t="s">
        <v>30</v>
      </c>
    </row>
    <row r="25" spans="2:15" ht="31.5" x14ac:dyDescent="0.25">
      <c r="B25" s="83" t="s">
        <v>41</v>
      </c>
      <c r="C25" s="167" t="s">
        <v>21</v>
      </c>
      <c r="D25" s="3">
        <v>1</v>
      </c>
      <c r="E25" s="48" t="s">
        <v>32</v>
      </c>
      <c r="F25" s="49">
        <v>0.1</v>
      </c>
      <c r="G25" s="48">
        <v>3</v>
      </c>
      <c r="H25" s="89">
        <f t="shared" ref="H25" si="7">F25*G25</f>
        <v>0.30000000000000004</v>
      </c>
      <c r="I25" s="56">
        <v>843000</v>
      </c>
      <c r="J25" s="85">
        <v>0.74823830999999996</v>
      </c>
      <c r="K25" s="56">
        <f>(I25*J25)+I25</f>
        <v>1473764.89533</v>
      </c>
      <c r="L25" s="57">
        <f>H25*K25</f>
        <v>442129.46859900007</v>
      </c>
      <c r="M25" s="51">
        <f>'Factor multiplicador (Anexo 2)'!F16</f>
        <v>2.2029000000000001</v>
      </c>
      <c r="N25" s="59">
        <f>L25*M25</f>
        <v>973967.00637673726</v>
      </c>
    </row>
    <row r="26" spans="2:15" ht="27" customHeight="1" x14ac:dyDescent="0.25">
      <c r="B26" s="227" t="s">
        <v>27</v>
      </c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71">
        <f>SUM(N25:N25)</f>
        <v>973967.00637673726</v>
      </c>
    </row>
    <row r="27" spans="2:15" x14ac:dyDescent="0.25">
      <c r="B27" s="17"/>
      <c r="C27" s="17"/>
      <c r="D27" s="7"/>
      <c r="E27" s="11"/>
      <c r="F27" s="8"/>
      <c r="M27" s="1"/>
    </row>
    <row r="28" spans="2:15" s="15" customFormat="1" ht="21" x14ac:dyDescent="0.35">
      <c r="B28" s="60" t="s">
        <v>42</v>
      </c>
      <c r="C28" s="60"/>
      <c r="D28" s="61"/>
      <c r="E28" s="62"/>
      <c r="F28" s="63"/>
      <c r="G28" s="64"/>
      <c r="H28" s="64"/>
      <c r="I28" s="64"/>
      <c r="J28" s="64"/>
      <c r="K28" s="64"/>
      <c r="L28" s="64"/>
      <c r="M28" s="65"/>
      <c r="N28" s="66">
        <f>N16+N22+N26</f>
        <v>73574561.400843889</v>
      </c>
      <c r="O28" s="72">
        <f>N28</f>
        <v>73574561.400843889</v>
      </c>
    </row>
    <row r="29" spans="2:15" s="15" customFormat="1" ht="21" x14ac:dyDescent="0.35"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"/>
    </row>
    <row r="30" spans="2:15" ht="24.75" customHeight="1" x14ac:dyDescent="0.25">
      <c r="B30" s="67" t="s">
        <v>43</v>
      </c>
      <c r="C30" s="211" t="s">
        <v>10</v>
      </c>
      <c r="D30" s="226" t="s">
        <v>11</v>
      </c>
      <c r="E30" s="211"/>
      <c r="F30" s="211" t="s">
        <v>37</v>
      </c>
      <c r="G30" s="211" t="s">
        <v>14</v>
      </c>
      <c r="H30" s="211" t="s">
        <v>44</v>
      </c>
      <c r="I30" s="211"/>
      <c r="J30" s="211"/>
      <c r="K30" s="211"/>
      <c r="L30" s="211"/>
      <c r="M30" s="211"/>
      <c r="N30" s="226" t="s">
        <v>30</v>
      </c>
    </row>
    <row r="31" spans="2:15" x14ac:dyDescent="0.25">
      <c r="B31" s="67" t="s">
        <v>45</v>
      </c>
      <c r="C31" s="211"/>
      <c r="D31" s="226"/>
      <c r="E31" s="211"/>
      <c r="F31" s="211"/>
      <c r="G31" s="211"/>
      <c r="H31" s="211"/>
      <c r="I31" s="211"/>
      <c r="J31" s="211"/>
      <c r="K31" s="211"/>
      <c r="L31" s="211"/>
      <c r="M31" s="211"/>
      <c r="N31" s="226"/>
    </row>
    <row r="32" spans="2:15" x14ac:dyDescent="0.25">
      <c r="B32" s="48" t="s">
        <v>46</v>
      </c>
      <c r="C32" s="48" t="s">
        <v>47</v>
      </c>
      <c r="D32" s="2">
        <v>1</v>
      </c>
      <c r="E32" s="48"/>
      <c r="F32" s="49"/>
      <c r="G32" s="48">
        <v>3</v>
      </c>
      <c r="H32" s="48"/>
      <c r="I32" s="59">
        <f>20*45200</f>
        <v>904000</v>
      </c>
      <c r="J32" s="59"/>
      <c r="K32" s="59"/>
      <c r="L32" s="48"/>
      <c r="M32" s="55"/>
      <c r="N32" s="58">
        <f>I32*G32*D32</f>
        <v>2712000</v>
      </c>
    </row>
    <row r="33" spans="2:15" x14ac:dyDescent="0.25">
      <c r="B33" s="48" t="s">
        <v>48</v>
      </c>
      <c r="C33" s="48" t="s">
        <v>47</v>
      </c>
      <c r="D33" s="2">
        <v>1</v>
      </c>
      <c r="E33" s="48"/>
      <c r="F33" s="49"/>
      <c r="G33" s="48">
        <v>3</v>
      </c>
      <c r="H33" s="48"/>
      <c r="I33" s="59">
        <v>81905</v>
      </c>
      <c r="J33" s="59"/>
      <c r="K33" s="59"/>
      <c r="L33" s="48"/>
      <c r="M33" s="55"/>
      <c r="N33" s="58">
        <f t="shared" ref="N33:N35" si="8">I33*G33*D33</f>
        <v>245715</v>
      </c>
    </row>
    <row r="34" spans="2:15" x14ac:dyDescent="0.25">
      <c r="B34" s="48" t="s">
        <v>49</v>
      </c>
      <c r="C34" s="48" t="s">
        <v>47</v>
      </c>
      <c r="D34" s="3">
        <v>1</v>
      </c>
      <c r="E34" s="48"/>
      <c r="F34" s="49"/>
      <c r="G34" s="48">
        <v>3</v>
      </c>
      <c r="H34" s="48"/>
      <c r="I34" s="59">
        <v>154700</v>
      </c>
      <c r="J34" s="59"/>
      <c r="K34" s="59"/>
      <c r="L34" s="48"/>
      <c r="M34" s="55"/>
      <c r="N34" s="58">
        <f>I34*G34*D34</f>
        <v>464100</v>
      </c>
    </row>
    <row r="35" spans="2:15" x14ac:dyDescent="0.25">
      <c r="B35" s="48" t="s">
        <v>50</v>
      </c>
      <c r="C35" s="48" t="s">
        <v>47</v>
      </c>
      <c r="D35" s="3">
        <v>1</v>
      </c>
      <c r="E35" s="48"/>
      <c r="F35" s="49"/>
      <c r="G35" s="48">
        <v>3</v>
      </c>
      <c r="H35" s="48"/>
      <c r="I35" s="59">
        <v>145300</v>
      </c>
      <c r="J35" s="59"/>
      <c r="K35" s="59"/>
      <c r="L35" s="48"/>
      <c r="M35" s="55"/>
      <c r="N35" s="58">
        <f t="shared" si="8"/>
        <v>435900</v>
      </c>
    </row>
    <row r="36" spans="2:15" ht="21" x14ac:dyDescent="0.35">
      <c r="B36" s="227" t="s">
        <v>27</v>
      </c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71">
        <f>SUM(N32:N35)</f>
        <v>3857715</v>
      </c>
      <c r="O36" s="72">
        <f>N36</f>
        <v>3857715</v>
      </c>
    </row>
    <row r="37" spans="2:15" x14ac:dyDescent="0.25">
      <c r="B37" s="68"/>
      <c r="C37" s="68"/>
      <c r="D37" s="7"/>
      <c r="F37" s="8"/>
    </row>
    <row r="38" spans="2:15" ht="34.5" customHeight="1" x14ac:dyDescent="0.25">
      <c r="B38" s="88" t="s">
        <v>51</v>
      </c>
      <c r="C38" s="16" t="s">
        <v>10</v>
      </c>
      <c r="D38" s="16" t="s">
        <v>11</v>
      </c>
      <c r="E38" s="16"/>
      <c r="F38" s="16" t="s">
        <v>37</v>
      </c>
      <c r="G38" s="16" t="s">
        <v>14</v>
      </c>
      <c r="H38" s="230" t="s">
        <v>44</v>
      </c>
      <c r="I38" s="231"/>
      <c r="J38" s="16"/>
      <c r="K38" s="16"/>
      <c r="L38" s="16"/>
      <c r="M38" s="16"/>
      <c r="N38" s="16" t="s">
        <v>30</v>
      </c>
    </row>
    <row r="39" spans="2:15" ht="33" customHeight="1" x14ac:dyDescent="0.25">
      <c r="B39" s="18" t="s">
        <v>52</v>
      </c>
      <c r="C39" s="48" t="s">
        <v>47</v>
      </c>
      <c r="D39" s="3">
        <v>1</v>
      </c>
      <c r="E39" s="48"/>
      <c r="F39" s="49">
        <v>0.2</v>
      </c>
      <c r="G39" s="48">
        <v>2</v>
      </c>
      <c r="H39" s="48"/>
      <c r="I39" s="59">
        <v>10590000</v>
      </c>
      <c r="J39" s="59"/>
      <c r="K39" s="59"/>
      <c r="L39" s="48"/>
      <c r="M39" s="55"/>
      <c r="N39" s="59">
        <f>I39*G39*F39</f>
        <v>4236000</v>
      </c>
    </row>
    <row r="40" spans="2:15" ht="25.5" customHeight="1" x14ac:dyDescent="0.25">
      <c r="B40" s="18" t="s">
        <v>53</v>
      </c>
      <c r="C40" s="48" t="s">
        <v>47</v>
      </c>
      <c r="D40" s="3">
        <v>1</v>
      </c>
      <c r="E40" s="48"/>
      <c r="F40" s="49">
        <v>0.25</v>
      </c>
      <c r="G40" s="48">
        <v>1</v>
      </c>
      <c r="H40" s="48"/>
      <c r="I40" s="59">
        <v>2206167</v>
      </c>
      <c r="J40" s="59"/>
      <c r="K40" s="59"/>
      <c r="L40" s="48"/>
      <c r="M40" s="55"/>
      <c r="N40" s="59">
        <f>I40*G40*F40</f>
        <v>551541.75</v>
      </c>
    </row>
    <row r="41" spans="2:15" ht="25.5" customHeight="1" x14ac:dyDescent="0.35">
      <c r="B41" s="227" t="s">
        <v>27</v>
      </c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71">
        <f>SUM(N39:N40)</f>
        <v>4787541.75</v>
      </c>
      <c r="O41" s="72">
        <f>N41</f>
        <v>4787541.75</v>
      </c>
    </row>
    <row r="42" spans="2:15" ht="23.25" customHeight="1" x14ac:dyDescent="0.25">
      <c r="I42" s="9"/>
      <c r="J42" s="9"/>
      <c r="K42" s="9"/>
      <c r="O42" s="10"/>
    </row>
    <row r="43" spans="2:15" ht="52.5" customHeight="1" x14ac:dyDescent="0.25">
      <c r="B43" s="87" t="s">
        <v>54</v>
      </c>
      <c r="C43" s="16" t="s">
        <v>10</v>
      </c>
      <c r="D43" s="16" t="s">
        <v>11</v>
      </c>
      <c r="E43" s="16"/>
      <c r="F43" s="16"/>
      <c r="G43" s="16"/>
      <c r="H43" s="16"/>
      <c r="I43" s="16"/>
      <c r="J43" s="86" t="s">
        <v>55</v>
      </c>
      <c r="K43" s="212" t="s">
        <v>56</v>
      </c>
      <c r="L43" s="213"/>
      <c r="M43" s="16"/>
      <c r="N43" s="16" t="s">
        <v>30</v>
      </c>
      <c r="O43" s="10"/>
    </row>
    <row r="44" spans="2:15" ht="32.25" customHeight="1" x14ac:dyDescent="0.25">
      <c r="B44" s="18" t="s">
        <v>57</v>
      </c>
      <c r="C44" s="18" t="s">
        <v>58</v>
      </c>
      <c r="D44" s="3">
        <v>1</v>
      </c>
      <c r="E44" s="48"/>
      <c r="F44" s="69"/>
      <c r="G44" s="48"/>
      <c r="H44" s="48"/>
      <c r="I44" s="59">
        <f>'Comparativo ensayos (Anexo 1)'!D33</f>
        <v>14524150</v>
      </c>
      <c r="J44" s="85">
        <v>1.0148799999999999E-2</v>
      </c>
      <c r="K44" s="228">
        <f>(I44*J44)+I44</f>
        <v>14671552.69352</v>
      </c>
      <c r="L44" s="229"/>
      <c r="M44" s="55"/>
      <c r="N44" s="58">
        <f>K44</f>
        <v>14671552.69352</v>
      </c>
    </row>
    <row r="45" spans="2:15" ht="21" x14ac:dyDescent="0.35">
      <c r="B45" s="227" t="s">
        <v>27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71">
        <f>SUM(N44)</f>
        <v>14671552.69352</v>
      </c>
      <c r="O45" s="72">
        <f>N45</f>
        <v>14671552.69352</v>
      </c>
    </row>
    <row r="47" spans="2:15" ht="15.75" thickBot="1" x14ac:dyDescent="0.3"/>
    <row r="48" spans="2:15" ht="45.75" customHeight="1" thickBot="1" x14ac:dyDescent="0.3">
      <c r="B48" s="238" t="s">
        <v>59</v>
      </c>
      <c r="C48" s="239"/>
      <c r="D48" s="239"/>
      <c r="E48" s="239"/>
      <c r="F48" s="239"/>
      <c r="G48" s="239"/>
      <c r="H48" s="239"/>
      <c r="I48" s="239"/>
      <c r="J48" s="239"/>
      <c r="K48" s="239"/>
      <c r="L48" s="239"/>
      <c r="M48" s="239"/>
      <c r="N48" s="240"/>
    </row>
    <row r="49" spans="2:14" ht="75" customHeight="1" thickBot="1" x14ac:dyDescent="0.3">
      <c r="B49" s="234">
        <f>O28+O36+O41+O45</f>
        <v>96891370.844363883</v>
      </c>
      <c r="C49" s="235"/>
      <c r="D49" s="235"/>
      <c r="E49" s="235"/>
      <c r="F49" s="235"/>
      <c r="G49" s="235"/>
      <c r="H49" s="235"/>
      <c r="I49" s="235"/>
      <c r="J49" s="235"/>
      <c r="K49" s="235"/>
      <c r="L49" s="235"/>
      <c r="M49" s="235"/>
      <c r="N49" s="236"/>
    </row>
    <row r="52" spans="2:14" ht="26.25" x14ac:dyDescent="0.25">
      <c r="B52" s="237" t="s">
        <v>60</v>
      </c>
      <c r="C52" s="237"/>
      <c r="D52" s="237"/>
      <c r="E52" s="237"/>
      <c r="F52" s="237"/>
      <c r="G52" s="237"/>
      <c r="H52" s="237"/>
      <c r="I52" s="237"/>
      <c r="J52" s="237"/>
      <c r="K52" s="237"/>
      <c r="L52" s="237"/>
      <c r="M52" s="237"/>
      <c r="N52" s="237"/>
    </row>
    <row r="54" spans="2:14" ht="26.25" x14ac:dyDescent="0.25">
      <c r="B54" s="237">
        <v>0.19</v>
      </c>
      <c r="C54" s="237"/>
      <c r="D54" s="237"/>
      <c r="E54" s="237"/>
      <c r="F54" s="237"/>
      <c r="G54" s="237"/>
      <c r="H54" s="237"/>
      <c r="I54" s="237"/>
      <c r="J54" s="237"/>
      <c r="K54" s="237"/>
      <c r="L54" s="237"/>
      <c r="M54" s="237"/>
      <c r="N54" s="237"/>
    </row>
    <row r="55" spans="2:14" ht="15.75" thickBot="1" x14ac:dyDescent="0.3"/>
    <row r="56" spans="2:14" ht="27" thickBot="1" x14ac:dyDescent="0.3">
      <c r="B56" s="238" t="s">
        <v>61</v>
      </c>
      <c r="C56" s="239"/>
      <c r="D56" s="239"/>
      <c r="E56" s="239"/>
      <c r="F56" s="239"/>
      <c r="G56" s="239"/>
      <c r="H56" s="239"/>
      <c r="I56" s="239"/>
      <c r="J56" s="239"/>
      <c r="K56" s="239"/>
      <c r="L56" s="239"/>
      <c r="M56" s="239"/>
      <c r="N56" s="240"/>
    </row>
    <row r="57" spans="2:14" ht="27" thickBot="1" x14ac:dyDescent="0.3">
      <c r="B57" s="234">
        <f>B49*B54</f>
        <v>18409360.460429139</v>
      </c>
      <c r="C57" s="235"/>
      <c r="D57" s="235"/>
      <c r="E57" s="235"/>
      <c r="F57" s="235"/>
      <c r="G57" s="235"/>
      <c r="H57" s="235"/>
      <c r="I57" s="235"/>
      <c r="J57" s="235"/>
      <c r="K57" s="235"/>
      <c r="L57" s="235"/>
      <c r="M57" s="235"/>
      <c r="N57" s="236"/>
    </row>
    <row r="59" spans="2:14" ht="15.75" thickBot="1" x14ac:dyDescent="0.3"/>
    <row r="60" spans="2:14" ht="27" thickBot="1" x14ac:dyDescent="0.3">
      <c r="B60" s="238" t="s">
        <v>62</v>
      </c>
      <c r="C60" s="239"/>
      <c r="D60" s="239"/>
      <c r="E60" s="239"/>
      <c r="F60" s="239"/>
      <c r="G60" s="239"/>
      <c r="H60" s="239"/>
      <c r="I60" s="239"/>
      <c r="J60" s="239"/>
      <c r="K60" s="239"/>
      <c r="L60" s="239"/>
      <c r="M60" s="239"/>
      <c r="N60" s="240"/>
    </row>
    <row r="61" spans="2:14" ht="52.5" customHeight="1" thickBot="1" x14ac:dyDescent="0.3">
      <c r="B61" s="234">
        <f>B49+B57</f>
        <v>115300731.30479303</v>
      </c>
      <c r="C61" s="235"/>
      <c r="D61" s="235"/>
      <c r="E61" s="235"/>
      <c r="F61" s="235"/>
      <c r="G61" s="235"/>
      <c r="H61" s="235"/>
      <c r="I61" s="235"/>
      <c r="J61" s="235"/>
      <c r="K61" s="235"/>
      <c r="L61" s="235"/>
      <c r="M61" s="235"/>
      <c r="N61" s="236"/>
    </row>
    <row r="62" spans="2:14" x14ac:dyDescent="0.25">
      <c r="C62" s="207" t="s">
        <v>63</v>
      </c>
    </row>
    <row r="63" spans="2:14" x14ac:dyDescent="0.25">
      <c r="C63" s="207"/>
    </row>
    <row r="64" spans="2:14" x14ac:dyDescent="0.25">
      <c r="C64" s="207"/>
    </row>
    <row r="65" spans="3:6" x14ac:dyDescent="0.25">
      <c r="C65" s="207"/>
    </row>
    <row r="66" spans="3:6" x14ac:dyDescent="0.25">
      <c r="C66" s="207"/>
    </row>
    <row r="69" spans="3:6" x14ac:dyDescent="0.25">
      <c r="C69" s="204" t="s">
        <v>64</v>
      </c>
      <c r="F69" s="203"/>
    </row>
    <row r="70" spans="3:6" x14ac:dyDescent="0.25">
      <c r="C70" s="205" t="s">
        <v>65</v>
      </c>
    </row>
    <row r="71" spans="3:6" x14ac:dyDescent="0.25">
      <c r="C71" s="206"/>
    </row>
    <row r="72" spans="3:6" x14ac:dyDescent="0.25">
      <c r="C72" s="204"/>
    </row>
    <row r="73" spans="3:6" x14ac:dyDescent="0.25">
      <c r="C73" s="204"/>
    </row>
    <row r="74" spans="3:6" x14ac:dyDescent="0.25">
      <c r="C74" s="204"/>
    </row>
    <row r="75" spans="3:6" x14ac:dyDescent="0.25">
      <c r="C75" s="204"/>
    </row>
    <row r="76" spans="3:6" x14ac:dyDescent="0.25">
      <c r="C76" s="204"/>
    </row>
  </sheetData>
  <protectedRanges>
    <protectedRange sqref="D2:H2 C4:C7 E6" name="Rango5"/>
    <protectedRange sqref="E4:E7 C4:C6" name="Rango1_1"/>
    <protectedRange sqref="G10:H11 G30 I11:L11 J31:L31 H30:H31 J43:L43 G24:L24 G18:L18" name="Rango1"/>
    <protectedRange sqref="B12:D12 F12:F14 B13:B14 D13:D14 C25 C19:C21 C13:C15" name="Rango6"/>
    <protectedRange sqref="M45:N45 G22:H22 M22:N22 G26:H26 M26:N26 G36:H36 M36:N36 G41:H41 M41:N41 G45:H45 M19:M21 M25 M12:N16 G12:H17" name="Rango1_3"/>
    <protectedRange sqref="B16:D16 D17:F17 B22:D22 F22 B26:D26 F26 B36:D36 F36 B41:D41 F41 B45:D45 F45 D15 B15 F15:F16" name="Rango6_1"/>
    <protectedRange sqref="B19:B21" name="Rango6_2"/>
    <protectedRange sqref="B25 B27:F29 F25" name="Rango6_3"/>
    <protectedRange sqref="B37:D37 D39 D44 F37 D34:D35 F34:F35" name="Rango4"/>
  </protectedRanges>
  <mergeCells count="38">
    <mergeCell ref="B61:N61"/>
    <mergeCell ref="B54:N54"/>
    <mergeCell ref="B52:N52"/>
    <mergeCell ref="B48:N48"/>
    <mergeCell ref="B49:N49"/>
    <mergeCell ref="B56:N56"/>
    <mergeCell ref="B57:N57"/>
    <mergeCell ref="B60:N60"/>
    <mergeCell ref="B17:D17"/>
    <mergeCell ref="B23:D23"/>
    <mergeCell ref="K30:K31"/>
    <mergeCell ref="L30:L31"/>
    <mergeCell ref="M30:M31"/>
    <mergeCell ref="B45:M45"/>
    <mergeCell ref="K18:L18"/>
    <mergeCell ref="K24:L24"/>
    <mergeCell ref="K44:L44"/>
    <mergeCell ref="H38:I38"/>
    <mergeCell ref="B22:M22"/>
    <mergeCell ref="B26:M26"/>
    <mergeCell ref="B36:M36"/>
    <mergeCell ref="B41:M41"/>
    <mergeCell ref="B2:N2"/>
    <mergeCell ref="H30:J31"/>
    <mergeCell ref="K43:L43"/>
    <mergeCell ref="C4:N4"/>
    <mergeCell ref="C5:N5"/>
    <mergeCell ref="C6:N6"/>
    <mergeCell ref="C7:N7"/>
    <mergeCell ref="B10:N10"/>
    <mergeCell ref="C30:C31"/>
    <mergeCell ref="D30:D31"/>
    <mergeCell ref="G30:G31"/>
    <mergeCell ref="E30:E31"/>
    <mergeCell ref="F30:F31"/>
    <mergeCell ref="K11:L11"/>
    <mergeCell ref="N30:N31"/>
    <mergeCell ref="B16:M16"/>
  </mergeCells>
  <dataValidations disablePrompts="1" count="12">
    <dataValidation type="list" allowBlank="1" showInputMessage="1" showErrorMessage="1" sqref="E17">
      <formula1>CATÉGORIAS_PROFESIONALES</formula1>
    </dataValidation>
    <dataValidation type="list" allowBlank="1" showInputMessage="1" showErrorMessage="1" sqref="B44:C44 B42:C42 B39:B40">
      <formula1>EQUIPOS_VEHICULOS_OTROS</formula1>
    </dataValidation>
    <dataValidation type="list" allowBlank="1" showInputMessage="1" showErrorMessage="1" sqref="B37:C37">
      <formula1>GASTOS_OFICINA_PRINCIPAL</formula1>
    </dataValidation>
    <dataValidation type="list" allowBlank="1" showInputMessage="1" showErrorMessage="1" sqref="E27:E29">
      <formula1>CATÉGORIAS_ADMON_NO_FACTURABLE</formula1>
    </dataValidation>
    <dataValidation type="list" allowBlank="1" showInputMessage="1" showErrorMessage="1" sqref="B27:C29 B25">
      <formula1>PERSONAL_ADMON</formula1>
    </dataValidation>
    <dataValidation type="decimal" allowBlank="1" showInputMessage="1" showErrorMessage="1" errorTitle="ATENCIÓN" error="La dedicación no puede ser mayor al 100%." sqref="F37 F44 F17 F12:F15 F39:F40 F42 F25 F32:F35">
      <formula1>0</formula1>
      <formula2>1</formula2>
    </dataValidation>
    <dataValidation type="list" allowBlank="1" showInputMessage="1" showErrorMessage="1" sqref="D3">
      <formula1>L_MOD</formula1>
    </dataValidation>
    <dataValidation type="list" allowBlank="1" showInputMessage="1" showErrorMessage="1" sqref="C6">
      <formula1>TIPO_DE_CTO</formula1>
    </dataValidation>
    <dataValidation type="list" allowBlank="1" showInputMessage="1" showErrorMessage="1" sqref="C5">
      <formula1>MODALIDAD</formula1>
    </dataValidation>
    <dataValidation type="list" allowBlank="1" showInputMessage="1" showErrorMessage="1" sqref="C4">
      <formula1>TIPO_PERSONA</formula1>
    </dataValidation>
    <dataValidation type="list" allowBlank="1" showInputMessage="1" showErrorMessage="1" sqref="B45:C45 B22:C22 B26:C26 B36:C36 B41:C41 C19:C21 C25 B12:C16">
      <formula1>PROFESIONALES</formula1>
    </dataValidation>
    <dataValidation type="list" allowBlank="1" showInputMessage="1" showErrorMessage="1" sqref="B19:B21">
      <formula1>TÉCNICOS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O24"/>
  <sheetViews>
    <sheetView topLeftCell="C6" zoomScaleNormal="100" workbookViewId="0">
      <selection activeCell="AJ24" sqref="AJ24:BM24"/>
    </sheetView>
  </sheetViews>
  <sheetFormatPr baseColWidth="10" defaultColWidth="11.42578125" defaultRowHeight="15" x14ac:dyDescent="0.25"/>
  <cols>
    <col min="2" max="2" width="38.5703125" customWidth="1"/>
    <col min="3" max="92" width="2.85546875" customWidth="1"/>
    <col min="93" max="93" width="15.85546875" customWidth="1"/>
  </cols>
  <sheetData>
    <row r="2" spans="2:92" ht="15.75" thickBot="1" x14ac:dyDescent="0.3"/>
    <row r="3" spans="2:92" x14ac:dyDescent="0.25">
      <c r="B3" s="253" t="s">
        <v>66</v>
      </c>
      <c r="C3" s="249" t="s">
        <v>67</v>
      </c>
      <c r="D3" s="250"/>
      <c r="E3" s="250"/>
      <c r="F3" s="250"/>
      <c r="G3" s="251"/>
      <c r="H3" s="251"/>
      <c r="I3" s="251"/>
      <c r="J3" s="251"/>
      <c r="K3" s="251"/>
      <c r="L3" s="251"/>
      <c r="M3" s="251"/>
      <c r="N3" s="251"/>
      <c r="O3" s="251"/>
      <c r="P3" s="251"/>
      <c r="Q3" s="251"/>
      <c r="R3" s="251"/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1"/>
      <c r="AD3" s="251"/>
      <c r="AE3" s="251"/>
      <c r="AF3" s="251"/>
      <c r="AG3" s="251"/>
      <c r="AH3" s="251"/>
      <c r="AI3" s="252"/>
      <c r="AJ3" s="249" t="s">
        <v>68</v>
      </c>
      <c r="AK3" s="251"/>
      <c r="AL3" s="251"/>
      <c r="AM3" s="251"/>
      <c r="AN3" s="251"/>
      <c r="AO3" s="251"/>
      <c r="AP3" s="251"/>
      <c r="AQ3" s="251"/>
      <c r="AR3" s="251"/>
      <c r="AS3" s="251"/>
      <c r="AT3" s="251"/>
      <c r="AU3" s="251"/>
      <c r="AV3" s="251"/>
      <c r="AW3" s="251"/>
      <c r="AX3" s="251"/>
      <c r="AY3" s="251"/>
      <c r="AZ3" s="251"/>
      <c r="BA3" s="251"/>
      <c r="BB3" s="251"/>
      <c r="BC3" s="251"/>
      <c r="BD3" s="251"/>
      <c r="BE3" s="251"/>
      <c r="BF3" s="251"/>
      <c r="BG3" s="251"/>
      <c r="BH3" s="251"/>
      <c r="BI3" s="251"/>
      <c r="BJ3" s="251"/>
      <c r="BK3" s="251"/>
      <c r="BL3" s="251"/>
      <c r="BM3" s="252"/>
      <c r="BN3" s="249" t="s">
        <v>69</v>
      </c>
      <c r="BO3" s="251"/>
      <c r="BP3" s="251"/>
      <c r="BQ3" s="251"/>
      <c r="BR3" s="251"/>
      <c r="BS3" s="251"/>
      <c r="BT3" s="251"/>
      <c r="BU3" s="251"/>
      <c r="BV3" s="251"/>
      <c r="BW3" s="251"/>
      <c r="BX3" s="251"/>
      <c r="BY3" s="251"/>
      <c r="BZ3" s="251"/>
      <c r="CA3" s="251"/>
      <c r="CB3" s="251"/>
      <c r="CC3" s="251"/>
      <c r="CD3" s="251"/>
      <c r="CE3" s="251"/>
      <c r="CF3" s="251"/>
      <c r="CG3" s="251"/>
      <c r="CH3" s="251"/>
      <c r="CI3" s="251"/>
      <c r="CJ3" s="251"/>
      <c r="CK3" s="251"/>
      <c r="CL3" s="251"/>
      <c r="CM3" s="251"/>
      <c r="CN3" s="251"/>
    </row>
    <row r="4" spans="2:92" ht="15.75" thickBot="1" x14ac:dyDescent="0.3">
      <c r="B4" s="254"/>
      <c r="C4" s="195">
        <v>1</v>
      </c>
      <c r="D4" s="195">
        <v>2</v>
      </c>
      <c r="E4" s="201">
        <v>3</v>
      </c>
      <c r="F4" s="195">
        <v>4</v>
      </c>
      <c r="G4" s="195">
        <v>5</v>
      </c>
      <c r="H4" s="201">
        <v>6</v>
      </c>
      <c r="I4" s="195">
        <v>7</v>
      </c>
      <c r="J4" s="195">
        <v>8</v>
      </c>
      <c r="K4" s="201">
        <v>9</v>
      </c>
      <c r="L4" s="195">
        <v>10</v>
      </c>
      <c r="M4" s="195">
        <v>11</v>
      </c>
      <c r="N4" s="201">
        <v>12</v>
      </c>
      <c r="O4" s="195">
        <v>13</v>
      </c>
      <c r="P4" s="195">
        <v>14</v>
      </c>
      <c r="Q4" s="201">
        <v>15</v>
      </c>
      <c r="R4" s="195">
        <v>16</v>
      </c>
      <c r="S4" s="195">
        <v>17</v>
      </c>
      <c r="T4" s="201">
        <v>18</v>
      </c>
      <c r="U4" s="195">
        <v>19</v>
      </c>
      <c r="V4" s="195">
        <v>20</v>
      </c>
      <c r="W4" s="201">
        <v>21</v>
      </c>
      <c r="X4" s="195">
        <v>22</v>
      </c>
      <c r="Y4" s="195">
        <v>23</v>
      </c>
      <c r="Z4" s="201">
        <v>24</v>
      </c>
      <c r="AA4" s="195">
        <v>25</v>
      </c>
      <c r="AB4" s="195">
        <v>26</v>
      </c>
      <c r="AC4" s="201">
        <v>27</v>
      </c>
      <c r="AD4" s="195">
        <v>28</v>
      </c>
      <c r="AE4" s="195">
        <v>29</v>
      </c>
      <c r="AF4" s="201">
        <v>30</v>
      </c>
      <c r="AG4" s="195">
        <v>31</v>
      </c>
      <c r="AH4" s="195">
        <v>32</v>
      </c>
      <c r="AI4" s="201">
        <v>33</v>
      </c>
      <c r="AJ4" s="195">
        <v>34</v>
      </c>
      <c r="AK4" s="195">
        <v>35</v>
      </c>
      <c r="AL4" s="201">
        <v>36</v>
      </c>
      <c r="AM4" s="195">
        <v>37</v>
      </c>
      <c r="AN4" s="195">
        <v>38</v>
      </c>
      <c r="AO4" s="201">
        <v>39</v>
      </c>
      <c r="AP4" s="195">
        <v>40</v>
      </c>
      <c r="AQ4" s="195">
        <v>41</v>
      </c>
      <c r="AR4" s="201">
        <v>42</v>
      </c>
      <c r="AS4" s="195">
        <v>43</v>
      </c>
      <c r="AT4" s="195">
        <v>44</v>
      </c>
      <c r="AU4" s="201">
        <v>45</v>
      </c>
      <c r="AV4" s="195">
        <v>46</v>
      </c>
      <c r="AW4" s="195">
        <v>47</v>
      </c>
      <c r="AX4" s="201">
        <v>48</v>
      </c>
      <c r="AY4" s="195">
        <v>49</v>
      </c>
      <c r="AZ4" s="195">
        <v>50</v>
      </c>
      <c r="BA4" s="201">
        <v>51</v>
      </c>
      <c r="BB4" s="195">
        <v>52</v>
      </c>
      <c r="BC4" s="195">
        <v>53</v>
      </c>
      <c r="BD4" s="201">
        <v>54</v>
      </c>
      <c r="BE4" s="195">
        <v>55</v>
      </c>
      <c r="BF4" s="195">
        <v>56</v>
      </c>
      <c r="BG4" s="201">
        <v>57</v>
      </c>
      <c r="BH4" s="195">
        <v>58</v>
      </c>
      <c r="BI4" s="195">
        <v>59</v>
      </c>
      <c r="BJ4" s="201">
        <v>60</v>
      </c>
      <c r="BK4" s="195">
        <v>61</v>
      </c>
      <c r="BL4" s="195">
        <v>62</v>
      </c>
      <c r="BM4" s="201">
        <v>63</v>
      </c>
      <c r="BN4" s="195">
        <v>64</v>
      </c>
      <c r="BO4" s="195">
        <v>65</v>
      </c>
      <c r="BP4" s="201">
        <v>66</v>
      </c>
      <c r="BQ4" s="195">
        <v>67</v>
      </c>
      <c r="BR4" s="195">
        <v>68</v>
      </c>
      <c r="BS4" s="201">
        <v>69</v>
      </c>
      <c r="BT4" s="195">
        <v>70</v>
      </c>
      <c r="BU4" s="195">
        <v>71</v>
      </c>
      <c r="BV4" s="201">
        <v>72</v>
      </c>
      <c r="BW4" s="195">
        <v>73</v>
      </c>
      <c r="BX4" s="195">
        <v>74</v>
      </c>
      <c r="BY4" s="201">
        <v>75</v>
      </c>
      <c r="BZ4" s="195">
        <v>76</v>
      </c>
      <c r="CA4" s="195">
        <v>77</v>
      </c>
      <c r="CB4" s="201">
        <v>78</v>
      </c>
      <c r="CC4" s="195">
        <v>79</v>
      </c>
      <c r="CD4" s="195">
        <v>80</v>
      </c>
      <c r="CE4" s="201">
        <v>81</v>
      </c>
      <c r="CF4" s="195">
        <v>82</v>
      </c>
      <c r="CG4" s="195">
        <v>83</v>
      </c>
      <c r="CH4" s="201">
        <v>84</v>
      </c>
      <c r="CI4" s="195">
        <v>85</v>
      </c>
      <c r="CJ4" s="195">
        <v>86</v>
      </c>
      <c r="CK4" s="201">
        <v>87</v>
      </c>
      <c r="CL4" s="195">
        <v>88</v>
      </c>
      <c r="CM4" s="195">
        <v>89</v>
      </c>
      <c r="CN4" s="201">
        <v>90</v>
      </c>
    </row>
    <row r="5" spans="2:92" x14ac:dyDescent="0.25">
      <c r="B5" s="193" t="s">
        <v>70</v>
      </c>
      <c r="C5" s="194"/>
      <c r="D5" s="158"/>
      <c r="E5" s="158"/>
      <c r="F5" s="158"/>
      <c r="G5" s="158"/>
      <c r="H5" s="158"/>
      <c r="I5" s="158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155"/>
      <c r="AK5" s="155"/>
      <c r="AL5" s="155"/>
      <c r="AM5" s="155"/>
      <c r="AN5" s="155"/>
      <c r="AO5" s="155"/>
      <c r="AP5" s="155"/>
      <c r="AQ5" s="155"/>
      <c r="AR5" s="155"/>
      <c r="AS5" s="155"/>
      <c r="AT5" s="155"/>
      <c r="AU5" s="155"/>
      <c r="AV5" s="155"/>
      <c r="AW5" s="155"/>
      <c r="AX5" s="155"/>
      <c r="AY5" s="155"/>
      <c r="AZ5" s="155"/>
      <c r="BA5" s="155"/>
      <c r="BB5" s="155"/>
      <c r="BC5" s="155"/>
      <c r="BD5" s="155"/>
      <c r="BE5" s="155"/>
      <c r="BF5" s="155"/>
      <c r="BG5" s="155"/>
      <c r="BH5" s="155"/>
      <c r="BI5" s="155"/>
      <c r="BJ5" s="155"/>
      <c r="BK5" s="155"/>
      <c r="BL5" s="155"/>
      <c r="BM5" s="155"/>
      <c r="BN5" s="155"/>
      <c r="BO5" s="155"/>
      <c r="BP5" s="155"/>
      <c r="BQ5" s="155"/>
      <c r="BR5" s="155"/>
      <c r="BS5" s="155"/>
      <c r="BT5" s="155"/>
      <c r="BU5" s="155"/>
      <c r="BV5" s="155"/>
      <c r="BW5" s="155"/>
      <c r="BX5" s="155"/>
      <c r="BY5" s="155"/>
      <c r="BZ5" s="155"/>
      <c r="CA5" s="155"/>
      <c r="CB5" s="155"/>
      <c r="CC5" s="155"/>
      <c r="CD5" s="155"/>
      <c r="CE5" s="155"/>
      <c r="CF5" s="155"/>
      <c r="CG5" s="155"/>
      <c r="CH5" s="155"/>
      <c r="CI5" s="155"/>
      <c r="CJ5" s="155"/>
      <c r="CK5" s="155"/>
      <c r="CL5" s="155"/>
      <c r="CM5" s="155"/>
      <c r="CN5" s="155"/>
    </row>
    <row r="6" spans="2:92" x14ac:dyDescent="0.25">
      <c r="B6" s="193" t="s">
        <v>71</v>
      </c>
      <c r="C6" s="158"/>
      <c r="D6" s="200"/>
      <c r="E6" s="200"/>
      <c r="F6" s="200"/>
      <c r="G6" s="158"/>
      <c r="H6" s="158"/>
      <c r="I6" s="158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</row>
    <row r="7" spans="2:92" x14ac:dyDescent="0.25">
      <c r="B7" s="191" t="s">
        <v>72</v>
      </c>
      <c r="C7" s="150"/>
      <c r="D7" s="150"/>
      <c r="E7" s="150"/>
      <c r="F7" s="150"/>
      <c r="G7" s="181"/>
      <c r="H7" s="181"/>
      <c r="I7" s="181"/>
      <c r="J7" s="182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  <c r="W7" s="153"/>
      <c r="X7" s="153"/>
      <c r="Y7" s="153"/>
      <c r="Z7" s="153"/>
      <c r="AA7" s="153"/>
      <c r="AB7" s="153"/>
      <c r="AC7" s="153"/>
      <c r="AD7" s="153"/>
      <c r="AE7" s="153"/>
      <c r="AF7" s="153"/>
      <c r="AG7" s="153"/>
      <c r="AH7" s="153"/>
      <c r="AI7" s="153"/>
      <c r="AJ7" s="153"/>
      <c r="AK7" s="153"/>
      <c r="AL7" s="153"/>
      <c r="AM7" s="153"/>
      <c r="AN7" s="153"/>
      <c r="AO7" s="153"/>
      <c r="AP7" s="153"/>
      <c r="AQ7" s="153"/>
      <c r="AR7" s="153"/>
      <c r="AS7" s="153"/>
      <c r="AT7" s="153"/>
      <c r="AU7" s="153"/>
      <c r="AV7" s="153"/>
      <c r="AW7" s="153"/>
      <c r="AX7" s="153"/>
      <c r="AY7" s="153"/>
      <c r="AZ7" s="153"/>
      <c r="BA7" s="153"/>
      <c r="BB7" s="153"/>
      <c r="BC7" s="153"/>
      <c r="BD7" s="153"/>
      <c r="BE7" s="153"/>
      <c r="BF7" s="153"/>
      <c r="BG7" s="153"/>
      <c r="BH7" s="153"/>
      <c r="BI7" s="153"/>
      <c r="BJ7" s="153"/>
      <c r="BK7" s="153"/>
      <c r="BL7" s="153"/>
      <c r="BM7" s="153"/>
      <c r="BN7" s="153"/>
      <c r="BO7" s="153"/>
      <c r="BP7" s="153"/>
      <c r="BQ7" s="153"/>
      <c r="BR7" s="153"/>
      <c r="BS7" s="153"/>
      <c r="BT7" s="153"/>
      <c r="BU7" s="153"/>
      <c r="BV7" s="153"/>
      <c r="BW7" s="153"/>
      <c r="BX7" s="153"/>
      <c r="BY7" s="153"/>
      <c r="BZ7" s="153"/>
      <c r="CA7" s="153"/>
      <c r="CB7" s="153"/>
      <c r="CC7" s="153"/>
      <c r="CD7" s="153"/>
      <c r="CE7" s="153"/>
      <c r="CF7" s="153"/>
      <c r="CG7" s="153"/>
      <c r="CH7" s="153"/>
      <c r="CI7" s="153"/>
      <c r="CJ7" s="153"/>
      <c r="CK7" s="153"/>
      <c r="CL7" s="153"/>
      <c r="CM7" s="153"/>
      <c r="CN7" s="153"/>
    </row>
    <row r="8" spans="2:92" x14ac:dyDescent="0.25">
      <c r="B8" s="191" t="s">
        <v>73</v>
      </c>
      <c r="C8" s="153"/>
      <c r="D8" s="153"/>
      <c r="E8" s="153"/>
      <c r="F8" s="153"/>
      <c r="G8" s="153"/>
      <c r="H8" s="153"/>
      <c r="I8" s="153"/>
      <c r="J8" s="153"/>
      <c r="K8" s="18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153"/>
      <c r="Y8" s="153"/>
      <c r="Z8" s="153"/>
      <c r="AA8" s="153"/>
      <c r="AB8" s="153"/>
      <c r="AC8" s="153"/>
      <c r="AD8" s="153"/>
      <c r="AE8" s="153"/>
      <c r="AF8" s="153"/>
      <c r="AG8" s="153"/>
      <c r="AH8" s="153"/>
      <c r="AI8" s="153"/>
      <c r="AJ8" s="153"/>
      <c r="AK8" s="153"/>
      <c r="AL8" s="153"/>
      <c r="AM8" s="153"/>
      <c r="AN8" s="153"/>
      <c r="AO8" s="153"/>
      <c r="AP8" s="153"/>
      <c r="AQ8" s="153"/>
      <c r="AR8" s="153"/>
      <c r="AS8" s="153"/>
      <c r="AT8" s="153"/>
      <c r="AU8" s="153"/>
      <c r="AV8" s="153"/>
      <c r="AW8" s="153"/>
      <c r="AX8" s="153"/>
      <c r="AY8" s="153"/>
      <c r="AZ8" s="153"/>
      <c r="BA8" s="153"/>
      <c r="BB8" s="153"/>
      <c r="BC8" s="153"/>
      <c r="BD8" s="153"/>
      <c r="BE8" s="153"/>
      <c r="BF8" s="153"/>
      <c r="BG8" s="153"/>
      <c r="BH8" s="153"/>
      <c r="BI8" s="153"/>
      <c r="BJ8" s="153"/>
      <c r="BK8" s="153"/>
      <c r="BL8" s="153"/>
      <c r="BM8" s="153"/>
      <c r="BN8" s="153"/>
      <c r="BO8" s="153"/>
      <c r="BP8" s="153"/>
      <c r="BQ8" s="153"/>
      <c r="BR8" s="153"/>
      <c r="BS8" s="153"/>
      <c r="BT8" s="153"/>
      <c r="BU8" s="153"/>
      <c r="BV8" s="153"/>
      <c r="BW8" s="153"/>
      <c r="BX8" s="153"/>
      <c r="BY8" s="153"/>
      <c r="BZ8" s="153"/>
      <c r="CA8" s="153"/>
      <c r="CB8" s="153"/>
      <c r="CC8" s="153"/>
      <c r="CD8" s="153"/>
      <c r="CE8" s="153"/>
      <c r="CF8" s="153"/>
      <c r="CG8" s="153"/>
      <c r="CH8" s="153"/>
      <c r="CI8" s="153"/>
      <c r="CJ8" s="153"/>
      <c r="CK8" s="153"/>
      <c r="CL8" s="153"/>
      <c r="CM8" s="153"/>
      <c r="CN8" s="153"/>
    </row>
    <row r="9" spans="2:92" x14ac:dyDescent="0.25">
      <c r="B9" s="191" t="s">
        <v>74</v>
      </c>
      <c r="C9" s="153"/>
      <c r="D9" s="153"/>
      <c r="E9" s="153"/>
      <c r="F9" s="153"/>
      <c r="G9" s="153"/>
      <c r="H9" s="153"/>
      <c r="I9" s="153"/>
      <c r="J9" s="153"/>
      <c r="K9" s="153"/>
      <c r="L9" s="184"/>
      <c r="M9" s="184"/>
      <c r="N9" s="184"/>
      <c r="O9" s="184"/>
      <c r="P9" s="184"/>
      <c r="Q9" s="184"/>
      <c r="R9" s="184"/>
      <c r="S9" s="184"/>
      <c r="T9" s="184"/>
      <c r="U9" s="184"/>
      <c r="V9" s="184"/>
      <c r="W9" s="184"/>
      <c r="X9" s="184"/>
      <c r="Y9" s="184"/>
      <c r="Z9" s="153"/>
      <c r="AA9" s="153"/>
      <c r="AB9" s="153"/>
      <c r="AC9" s="153"/>
      <c r="AD9" s="153"/>
      <c r="AE9" s="153"/>
      <c r="AF9" s="153"/>
      <c r="AG9" s="153"/>
      <c r="AH9" s="153"/>
      <c r="AI9" s="153"/>
      <c r="AJ9" s="153"/>
      <c r="AK9" s="153"/>
      <c r="AL9" s="153"/>
      <c r="AM9" s="153"/>
      <c r="AN9" s="153"/>
      <c r="AO9" s="153"/>
      <c r="AP9" s="153"/>
      <c r="AQ9" s="153"/>
      <c r="AR9" s="153"/>
      <c r="AS9" s="153"/>
      <c r="AT9" s="153"/>
      <c r="AU9" s="153"/>
      <c r="AV9" s="153"/>
      <c r="AW9" s="153"/>
      <c r="AX9" s="153"/>
      <c r="AY9" s="153"/>
      <c r="AZ9" s="153"/>
      <c r="BA9" s="153"/>
      <c r="BB9" s="153"/>
      <c r="BC9" s="153"/>
      <c r="BD9" s="153"/>
      <c r="BE9" s="153"/>
      <c r="BF9" s="153"/>
      <c r="BG9" s="153"/>
      <c r="BH9" s="153"/>
      <c r="BI9" s="153"/>
      <c r="BJ9" s="153"/>
      <c r="BK9" s="153"/>
      <c r="BL9" s="153"/>
      <c r="BM9" s="153"/>
      <c r="BN9" s="153"/>
      <c r="BO9" s="153"/>
      <c r="BP9" s="153"/>
      <c r="BQ9" s="153"/>
      <c r="BR9" s="153"/>
      <c r="BS9" s="153"/>
      <c r="BT9" s="153"/>
      <c r="BU9" s="153"/>
      <c r="BV9" s="153"/>
      <c r="BW9" s="153"/>
      <c r="BX9" s="153"/>
      <c r="BY9" s="153"/>
      <c r="BZ9" s="153"/>
      <c r="CA9" s="153"/>
      <c r="CB9" s="153"/>
      <c r="CC9" s="153"/>
      <c r="CD9" s="153"/>
      <c r="CE9" s="153"/>
      <c r="CF9" s="153"/>
      <c r="CG9" s="153"/>
      <c r="CH9" s="153"/>
      <c r="CI9" s="153"/>
      <c r="CJ9" s="153"/>
      <c r="CK9" s="153"/>
      <c r="CL9" s="153"/>
      <c r="CM9" s="153"/>
      <c r="CN9" s="153"/>
    </row>
    <row r="10" spans="2:92" x14ac:dyDescent="0.25">
      <c r="B10" s="191" t="s">
        <v>75</v>
      </c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3"/>
      <c r="T10" s="153"/>
      <c r="U10" s="153"/>
      <c r="V10" s="153"/>
      <c r="W10" s="153"/>
      <c r="X10" s="153"/>
      <c r="Y10" s="184"/>
      <c r="Z10" s="153"/>
      <c r="AA10" s="153"/>
      <c r="AB10" s="153"/>
      <c r="AC10" s="153"/>
      <c r="AD10" s="153"/>
      <c r="AE10" s="153"/>
      <c r="AF10" s="153"/>
      <c r="AG10" s="153"/>
      <c r="AH10" s="153"/>
      <c r="AI10" s="153"/>
      <c r="AJ10" s="153"/>
      <c r="AK10" s="153"/>
      <c r="AL10" s="153"/>
      <c r="AM10" s="153"/>
      <c r="AN10" s="153"/>
      <c r="AO10" s="153"/>
      <c r="AP10" s="153"/>
      <c r="AQ10" s="153"/>
      <c r="AR10" s="153"/>
      <c r="AS10" s="153"/>
      <c r="AT10" s="153"/>
      <c r="AU10" s="153"/>
      <c r="AV10" s="153"/>
      <c r="AW10" s="153"/>
      <c r="AX10" s="153"/>
      <c r="AY10" s="153"/>
      <c r="AZ10" s="153"/>
      <c r="BA10" s="153"/>
      <c r="BB10" s="153"/>
      <c r="BC10" s="153"/>
      <c r="BD10" s="153"/>
      <c r="BE10" s="153"/>
      <c r="BF10" s="153"/>
      <c r="BG10" s="153"/>
      <c r="BH10" s="153"/>
      <c r="BI10" s="153"/>
      <c r="BJ10" s="153"/>
      <c r="BK10" s="153"/>
      <c r="BL10" s="153"/>
      <c r="BM10" s="153"/>
      <c r="BN10" s="153"/>
      <c r="BO10" s="153"/>
      <c r="BP10" s="153"/>
      <c r="BQ10" s="153"/>
      <c r="BR10" s="153"/>
      <c r="BS10" s="153"/>
      <c r="BT10" s="153"/>
      <c r="BU10" s="153"/>
      <c r="BV10" s="153"/>
      <c r="BW10" s="153"/>
      <c r="BX10" s="153"/>
      <c r="BY10" s="153"/>
      <c r="BZ10" s="153"/>
      <c r="CA10" s="153"/>
      <c r="CB10" s="153"/>
      <c r="CC10" s="153"/>
      <c r="CD10" s="153"/>
      <c r="CE10" s="153"/>
      <c r="CF10" s="153"/>
      <c r="CG10" s="153"/>
      <c r="CH10" s="153"/>
      <c r="CI10" s="153"/>
      <c r="CJ10" s="153"/>
      <c r="CK10" s="153"/>
      <c r="CL10" s="153"/>
      <c r="CM10" s="153"/>
      <c r="CN10" s="153"/>
    </row>
    <row r="11" spans="2:92" x14ac:dyDescent="0.25">
      <c r="B11" s="191" t="s">
        <v>76</v>
      </c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53"/>
      <c r="T11" s="185"/>
      <c r="U11" s="185"/>
      <c r="V11" s="185"/>
      <c r="W11" s="185"/>
      <c r="X11" s="185"/>
      <c r="Y11" s="185"/>
      <c r="Z11" s="153"/>
      <c r="AA11" s="153"/>
      <c r="AB11" s="153"/>
      <c r="AC11" s="153"/>
      <c r="AD11" s="153"/>
      <c r="AE11" s="153"/>
      <c r="AF11" s="153"/>
      <c r="AG11" s="153"/>
      <c r="AH11" s="153"/>
      <c r="AI11" s="153"/>
      <c r="AJ11" s="153"/>
      <c r="AK11" s="153"/>
      <c r="AL11" s="153"/>
      <c r="AM11" s="153"/>
      <c r="AN11" s="153"/>
      <c r="AO11" s="153"/>
      <c r="AP11" s="153"/>
      <c r="AQ11" s="153"/>
      <c r="AR11" s="153"/>
      <c r="AS11" s="153"/>
      <c r="AT11" s="153"/>
      <c r="AU11" s="153"/>
      <c r="AV11" s="153"/>
      <c r="AW11" s="153"/>
      <c r="AX11" s="153"/>
      <c r="AY11" s="153"/>
      <c r="AZ11" s="153"/>
      <c r="BA11" s="153"/>
      <c r="BB11" s="153"/>
      <c r="BC11" s="153"/>
      <c r="BD11" s="153"/>
      <c r="BE11" s="153"/>
      <c r="BF11" s="153"/>
      <c r="BG11" s="153"/>
      <c r="BH11" s="153"/>
      <c r="BI11" s="153"/>
      <c r="BJ11" s="153"/>
      <c r="BK11" s="153"/>
      <c r="BL11" s="153"/>
      <c r="BM11" s="153"/>
      <c r="BN11" s="153"/>
      <c r="BO11" s="153"/>
      <c r="BP11" s="153"/>
      <c r="BQ11" s="153"/>
      <c r="BR11" s="153"/>
      <c r="BS11" s="153"/>
      <c r="BT11" s="153"/>
      <c r="BU11" s="153"/>
      <c r="BV11" s="153"/>
      <c r="BW11" s="153"/>
      <c r="BX11" s="153"/>
      <c r="BY11" s="153"/>
      <c r="BZ11" s="153"/>
      <c r="CA11" s="153"/>
      <c r="CB11" s="153"/>
      <c r="CC11" s="153"/>
      <c r="CD11" s="153"/>
      <c r="CE11" s="153"/>
      <c r="CF11" s="153"/>
      <c r="CG11" s="153"/>
      <c r="CH11" s="153"/>
      <c r="CI11" s="153"/>
      <c r="CJ11" s="153"/>
      <c r="CK11" s="153"/>
      <c r="CL11" s="153"/>
      <c r="CM11" s="153"/>
      <c r="CN11" s="153"/>
    </row>
    <row r="12" spans="2:92" x14ac:dyDescent="0.25">
      <c r="B12" s="191" t="s">
        <v>77</v>
      </c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53"/>
      <c r="AJ12" s="153"/>
      <c r="AK12" s="153"/>
      <c r="AL12" s="153"/>
      <c r="AM12" s="153"/>
      <c r="AN12" s="153"/>
      <c r="AO12" s="153"/>
      <c r="AP12" s="153"/>
      <c r="AQ12" s="153"/>
      <c r="AR12" s="153"/>
      <c r="AS12" s="153"/>
      <c r="AT12" s="153"/>
      <c r="AU12" s="153"/>
      <c r="AV12" s="153"/>
      <c r="AW12" s="153"/>
      <c r="AX12" s="153"/>
      <c r="AY12" s="153"/>
      <c r="AZ12" s="153"/>
      <c r="BA12" s="153"/>
      <c r="BB12" s="153"/>
      <c r="BC12" s="153"/>
      <c r="BD12" s="153"/>
      <c r="BE12" s="153"/>
      <c r="BF12" s="153"/>
      <c r="BG12" s="153"/>
      <c r="BH12" s="153"/>
      <c r="BI12" s="153"/>
      <c r="BJ12" s="153"/>
      <c r="BK12" s="153"/>
      <c r="BL12" s="153"/>
      <c r="BM12" s="153"/>
      <c r="BN12" s="153"/>
      <c r="BO12" s="153"/>
      <c r="BP12" s="153"/>
      <c r="BQ12" s="153"/>
      <c r="BR12" s="153"/>
      <c r="BS12" s="153"/>
      <c r="BT12" s="153"/>
      <c r="BU12" s="153"/>
      <c r="BV12" s="153"/>
      <c r="BW12" s="153"/>
      <c r="BX12" s="153"/>
      <c r="BY12" s="153"/>
      <c r="BZ12" s="153"/>
      <c r="CA12" s="153"/>
      <c r="CB12" s="153"/>
      <c r="CC12" s="153"/>
      <c r="CD12" s="153"/>
      <c r="CE12" s="153"/>
      <c r="CF12" s="153"/>
      <c r="CG12" s="153"/>
      <c r="CH12" s="153"/>
      <c r="CI12" s="153"/>
      <c r="CJ12" s="153"/>
      <c r="CK12" s="153"/>
      <c r="CL12" s="153"/>
      <c r="CM12" s="153"/>
      <c r="CN12" s="153"/>
    </row>
    <row r="13" spans="2:92" x14ac:dyDescent="0.25">
      <c r="B13" s="191" t="s">
        <v>78</v>
      </c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53"/>
      <c r="W13" s="153"/>
      <c r="X13" s="153"/>
      <c r="Y13" s="153"/>
      <c r="Z13" s="153"/>
      <c r="AA13" s="153"/>
      <c r="AB13" s="153"/>
      <c r="AC13" s="153"/>
      <c r="AD13" s="153"/>
      <c r="AE13" s="153"/>
      <c r="AF13" s="153"/>
      <c r="AG13" s="183"/>
      <c r="AH13" s="183"/>
      <c r="AI13" s="183"/>
      <c r="AJ13" s="153"/>
      <c r="AK13" s="153"/>
      <c r="AL13" s="153"/>
      <c r="AM13" s="153"/>
      <c r="AN13" s="153"/>
      <c r="AO13" s="153"/>
      <c r="AP13" s="153"/>
      <c r="AQ13" s="153"/>
      <c r="AR13" s="153"/>
      <c r="AS13" s="153"/>
      <c r="AT13" s="153"/>
      <c r="AU13" s="153"/>
      <c r="AV13" s="153"/>
      <c r="AW13" s="153"/>
      <c r="AX13" s="153"/>
      <c r="AY13" s="153"/>
      <c r="AZ13" s="153"/>
      <c r="BA13" s="153"/>
      <c r="BB13" s="153"/>
      <c r="BC13" s="153"/>
      <c r="BD13" s="153"/>
      <c r="BE13" s="153"/>
      <c r="BF13" s="153"/>
      <c r="BG13" s="153"/>
      <c r="BH13" s="153"/>
      <c r="BI13" s="153"/>
      <c r="BJ13" s="153"/>
      <c r="BK13" s="153"/>
      <c r="BL13" s="153"/>
      <c r="BM13" s="153"/>
      <c r="BN13" s="153"/>
      <c r="BO13" s="153"/>
      <c r="BP13" s="153"/>
      <c r="BQ13" s="153"/>
      <c r="BR13" s="153"/>
      <c r="BS13" s="153"/>
      <c r="BT13" s="153"/>
      <c r="BU13" s="153"/>
      <c r="BV13" s="153"/>
      <c r="BW13" s="153"/>
      <c r="BX13" s="153"/>
      <c r="BY13" s="153"/>
      <c r="BZ13" s="153"/>
      <c r="CA13" s="153"/>
      <c r="CB13" s="153"/>
      <c r="CC13" s="153"/>
      <c r="CD13" s="153"/>
      <c r="CE13" s="153"/>
      <c r="CF13" s="153"/>
      <c r="CG13" s="153"/>
      <c r="CH13" s="153"/>
      <c r="CI13" s="153"/>
      <c r="CJ13" s="153"/>
      <c r="CK13" s="153"/>
      <c r="CL13" s="153"/>
      <c r="CM13" s="153"/>
      <c r="CN13" s="153"/>
    </row>
    <row r="14" spans="2:92" x14ac:dyDescent="0.25">
      <c r="B14" s="191" t="s">
        <v>79</v>
      </c>
      <c r="C14" s="153"/>
      <c r="D14" s="153"/>
      <c r="E14" s="153"/>
      <c r="F14" s="153"/>
      <c r="G14" s="153"/>
      <c r="H14" s="153"/>
      <c r="I14" s="153"/>
      <c r="J14" s="153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3"/>
      <c r="W14" s="153"/>
      <c r="X14" s="153"/>
      <c r="Y14" s="153"/>
      <c r="Z14" s="153"/>
      <c r="AA14" s="153"/>
      <c r="AB14" s="153"/>
      <c r="AC14" s="153"/>
      <c r="AD14" s="153"/>
      <c r="AE14" s="153"/>
      <c r="AF14" s="153"/>
      <c r="AG14" s="187"/>
      <c r="AH14" s="187"/>
      <c r="AI14" s="187"/>
      <c r="AJ14" s="187"/>
      <c r="AK14" s="187"/>
      <c r="AL14" s="187"/>
      <c r="AM14" s="187"/>
      <c r="AN14" s="187"/>
      <c r="AO14" s="187"/>
      <c r="AP14" s="187"/>
      <c r="AQ14" s="187"/>
      <c r="AR14" s="187"/>
      <c r="AS14" s="153"/>
      <c r="AT14" s="153"/>
      <c r="AU14" s="153"/>
      <c r="AV14" s="153"/>
      <c r="AW14" s="153"/>
      <c r="AX14" s="153"/>
      <c r="AY14" s="153"/>
      <c r="AZ14" s="153"/>
      <c r="BA14" s="153"/>
      <c r="BB14" s="153"/>
      <c r="BC14" s="153"/>
      <c r="BD14" s="153"/>
      <c r="BE14" s="153"/>
      <c r="BF14" s="153"/>
      <c r="BG14" s="153"/>
      <c r="BH14" s="153"/>
      <c r="BI14" s="153"/>
      <c r="BJ14" s="153"/>
      <c r="BK14" s="153"/>
      <c r="BL14" s="153"/>
      <c r="BM14" s="153"/>
      <c r="BN14" s="153"/>
      <c r="BO14" s="153"/>
      <c r="BP14" s="153"/>
      <c r="BQ14" s="153"/>
      <c r="BR14" s="153"/>
      <c r="BS14" s="153"/>
      <c r="BT14" s="153"/>
      <c r="BU14" s="153"/>
      <c r="BV14" s="153"/>
      <c r="BW14" s="153"/>
      <c r="BX14" s="153"/>
      <c r="BY14" s="153"/>
      <c r="BZ14" s="153"/>
      <c r="CA14" s="153"/>
      <c r="CB14" s="153"/>
      <c r="CC14" s="153"/>
      <c r="CD14" s="153"/>
      <c r="CE14" s="153"/>
      <c r="CF14" s="153"/>
      <c r="CG14" s="153"/>
      <c r="CH14" s="153"/>
      <c r="CI14" s="153"/>
      <c r="CJ14" s="153"/>
      <c r="CK14" s="153"/>
      <c r="CL14" s="153"/>
      <c r="CM14" s="153"/>
      <c r="CN14" s="153"/>
    </row>
    <row r="15" spans="2:92" x14ac:dyDescent="0.25">
      <c r="B15" s="191" t="s">
        <v>80</v>
      </c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53"/>
      <c r="X15" s="153"/>
      <c r="Y15" s="153"/>
      <c r="Z15" s="153"/>
      <c r="AA15" s="153"/>
      <c r="AB15" s="153"/>
      <c r="AC15" s="153"/>
      <c r="AD15" s="153"/>
      <c r="AE15" s="153"/>
      <c r="AF15" s="153"/>
      <c r="AG15" s="153"/>
      <c r="AH15" s="153"/>
      <c r="AI15" s="153"/>
      <c r="AJ15" s="153"/>
      <c r="AK15" s="153"/>
      <c r="AL15" s="153"/>
      <c r="AM15" s="153"/>
      <c r="AN15" s="153"/>
      <c r="AO15" s="153"/>
      <c r="AP15" s="153"/>
      <c r="AQ15" s="153"/>
      <c r="AR15" s="153"/>
      <c r="AS15" s="188"/>
      <c r="AT15" s="153"/>
      <c r="AU15" s="153"/>
      <c r="AV15" s="153"/>
      <c r="AW15" s="153"/>
      <c r="AX15" s="153"/>
      <c r="AY15" s="153"/>
      <c r="AZ15" s="153"/>
      <c r="BA15" s="153"/>
      <c r="BB15" s="153"/>
      <c r="BC15" s="153"/>
      <c r="BD15" s="153"/>
      <c r="BE15" s="153"/>
      <c r="BF15" s="153"/>
      <c r="BG15" s="153"/>
      <c r="BH15" s="153"/>
      <c r="BI15" s="153"/>
      <c r="BJ15" s="153"/>
      <c r="BK15" s="153"/>
      <c r="BL15" s="153"/>
      <c r="BM15" s="153"/>
      <c r="BN15" s="153"/>
      <c r="BO15" s="153"/>
      <c r="BP15" s="153"/>
      <c r="BQ15" s="153"/>
      <c r="BR15" s="153"/>
      <c r="BS15" s="153"/>
      <c r="BT15" s="153"/>
      <c r="BU15" s="153"/>
      <c r="BV15" s="153"/>
      <c r="BW15" s="153"/>
      <c r="BX15" s="153"/>
      <c r="BY15" s="153"/>
      <c r="BZ15" s="153"/>
      <c r="CA15" s="153"/>
      <c r="CB15" s="153"/>
      <c r="CC15" s="153"/>
      <c r="CD15" s="153"/>
      <c r="CE15" s="153"/>
      <c r="CF15" s="153"/>
      <c r="CG15" s="153"/>
      <c r="CH15" s="153"/>
      <c r="CI15" s="153"/>
      <c r="CJ15" s="153"/>
      <c r="CK15" s="153"/>
      <c r="CL15" s="153"/>
      <c r="CM15" s="153"/>
      <c r="CN15" s="153"/>
    </row>
    <row r="16" spans="2:92" x14ac:dyDescent="0.25">
      <c r="B16" s="191" t="s">
        <v>81</v>
      </c>
      <c r="C16" s="153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53"/>
      <c r="W16" s="153"/>
      <c r="X16" s="153"/>
      <c r="Y16" s="153"/>
      <c r="Z16" s="153"/>
      <c r="AA16" s="153"/>
      <c r="AB16" s="153"/>
      <c r="AC16" s="153"/>
      <c r="AD16" s="153"/>
      <c r="AE16" s="153"/>
      <c r="AF16" s="153"/>
      <c r="AG16" s="153"/>
      <c r="AH16" s="153"/>
      <c r="AI16" s="153"/>
      <c r="AJ16" s="153"/>
      <c r="AK16" s="153"/>
      <c r="AL16" s="153"/>
      <c r="AM16" s="153"/>
      <c r="AN16" s="153"/>
      <c r="AO16" s="153"/>
      <c r="AP16" s="153"/>
      <c r="AQ16" s="153"/>
      <c r="AR16" s="153"/>
      <c r="AS16" s="153"/>
      <c r="AT16" s="189"/>
      <c r="AU16" s="153"/>
      <c r="AV16" s="153"/>
      <c r="AW16" s="153"/>
      <c r="AX16" s="153"/>
      <c r="AY16" s="153"/>
      <c r="AZ16" s="153"/>
      <c r="BA16" s="153"/>
      <c r="BB16" s="153"/>
      <c r="BC16" s="153"/>
      <c r="BD16" s="153"/>
      <c r="BE16" s="153"/>
      <c r="BF16" s="153"/>
      <c r="BG16" s="153"/>
      <c r="BH16" s="153"/>
      <c r="BI16" s="153"/>
      <c r="BJ16" s="153"/>
      <c r="BK16" s="153"/>
      <c r="BL16" s="153"/>
      <c r="BM16" s="153"/>
      <c r="BN16" s="153"/>
      <c r="BO16" s="153"/>
      <c r="BP16" s="153"/>
      <c r="BQ16" s="153"/>
      <c r="BR16" s="153"/>
      <c r="BS16" s="153"/>
      <c r="BT16" s="153"/>
      <c r="BU16" s="153"/>
      <c r="BV16" s="153"/>
      <c r="BW16" s="153"/>
      <c r="BX16" s="153"/>
      <c r="BY16" s="153"/>
      <c r="BZ16" s="153"/>
      <c r="CA16" s="153"/>
      <c r="CB16" s="153"/>
      <c r="CC16" s="153"/>
      <c r="CD16" s="153"/>
      <c r="CE16" s="153"/>
      <c r="CF16" s="153"/>
      <c r="CG16" s="153"/>
      <c r="CH16" s="153"/>
      <c r="CI16" s="153"/>
      <c r="CJ16" s="153"/>
      <c r="CK16" s="153"/>
      <c r="CL16" s="153"/>
      <c r="CM16" s="153"/>
      <c r="CN16" s="153"/>
    </row>
    <row r="17" spans="2:93" x14ac:dyDescent="0.25">
      <c r="B17" s="191" t="s">
        <v>82</v>
      </c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  <c r="AE17" s="153"/>
      <c r="AF17" s="153"/>
      <c r="AG17" s="153"/>
      <c r="AH17" s="153"/>
      <c r="AI17" s="153"/>
      <c r="AJ17" s="153"/>
      <c r="AK17" s="153"/>
      <c r="AL17" s="153"/>
      <c r="AM17" s="153"/>
      <c r="AN17" s="153"/>
      <c r="AO17" s="153"/>
      <c r="AP17" s="153"/>
      <c r="AQ17" s="153"/>
      <c r="AR17" s="153"/>
      <c r="AS17" s="153"/>
      <c r="AT17" s="153"/>
      <c r="AU17" s="190"/>
      <c r="AV17" s="190"/>
      <c r="AW17" s="190"/>
      <c r="AX17" s="190"/>
      <c r="AY17" s="190"/>
      <c r="AZ17" s="190"/>
      <c r="BA17" s="190"/>
      <c r="BB17" s="190"/>
      <c r="BC17" s="190"/>
      <c r="BD17" s="190"/>
      <c r="BE17" s="190"/>
      <c r="BF17" s="190"/>
      <c r="BG17" s="190"/>
      <c r="BH17" s="190"/>
      <c r="BI17" s="190"/>
      <c r="BJ17" s="190"/>
      <c r="BK17" s="190"/>
      <c r="BL17" s="190"/>
      <c r="BM17" s="190"/>
      <c r="BN17" s="190"/>
      <c r="BO17" s="190"/>
      <c r="BP17" s="190"/>
      <c r="BQ17" s="190"/>
      <c r="BR17" s="190"/>
      <c r="BS17" s="190"/>
      <c r="BT17" s="190"/>
      <c r="BU17" s="190"/>
      <c r="BV17" s="190"/>
      <c r="BW17" s="190"/>
      <c r="BX17" s="190"/>
      <c r="BY17" s="190"/>
      <c r="BZ17" s="190"/>
      <c r="CA17" s="190"/>
      <c r="CB17" s="190"/>
      <c r="CC17" s="190"/>
      <c r="CD17" s="190"/>
      <c r="CE17" s="190"/>
      <c r="CF17" s="190"/>
      <c r="CG17" s="190"/>
      <c r="CH17" s="190"/>
      <c r="CI17" s="190"/>
      <c r="CJ17" s="190"/>
      <c r="CK17" s="190"/>
      <c r="CL17" s="190"/>
      <c r="CM17" s="190"/>
      <c r="CN17" s="153"/>
    </row>
    <row r="18" spans="2:93" ht="15.75" thickBot="1" x14ac:dyDescent="0.3">
      <c r="B18" s="192" t="s">
        <v>83</v>
      </c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6"/>
      <c r="AA18" s="156"/>
      <c r="AB18" s="156"/>
      <c r="AC18" s="156"/>
      <c r="AD18" s="156"/>
      <c r="AE18" s="156"/>
      <c r="AF18" s="156"/>
      <c r="AG18" s="156"/>
      <c r="AH18" s="156"/>
      <c r="AI18" s="156"/>
      <c r="AJ18" s="156"/>
      <c r="AK18" s="156"/>
      <c r="AL18" s="156"/>
      <c r="AM18" s="156"/>
      <c r="AN18" s="156"/>
      <c r="AO18" s="156"/>
      <c r="AP18" s="156"/>
      <c r="AQ18" s="156"/>
      <c r="AR18" s="156"/>
      <c r="AS18" s="156"/>
      <c r="AT18" s="156"/>
      <c r="AU18" s="156"/>
      <c r="AV18" s="156"/>
      <c r="AW18" s="156"/>
      <c r="AX18" s="156"/>
      <c r="AY18" s="156"/>
      <c r="AZ18" s="156"/>
      <c r="BA18" s="156"/>
      <c r="BB18" s="156"/>
      <c r="BC18" s="156"/>
      <c r="BD18" s="156"/>
      <c r="BE18" s="156"/>
      <c r="BF18" s="156"/>
      <c r="BG18" s="156"/>
      <c r="BH18" s="156"/>
      <c r="BI18" s="156"/>
      <c r="BJ18" s="156"/>
      <c r="BK18" s="156"/>
      <c r="BL18" s="156"/>
      <c r="BM18" s="156"/>
      <c r="BN18" s="156"/>
      <c r="BO18" s="156"/>
      <c r="BP18" s="156"/>
      <c r="BQ18" s="156"/>
      <c r="BR18" s="156"/>
      <c r="BS18" s="156"/>
      <c r="BT18" s="156"/>
      <c r="BU18" s="156"/>
      <c r="BV18" s="156"/>
      <c r="BW18" s="156"/>
      <c r="BX18" s="156"/>
      <c r="BY18" s="156"/>
      <c r="BZ18" s="156"/>
      <c r="CA18" s="156"/>
      <c r="CB18" s="156"/>
      <c r="CC18" s="156"/>
      <c r="CD18" s="156"/>
      <c r="CE18" s="156"/>
      <c r="CF18" s="156"/>
      <c r="CG18" s="156"/>
      <c r="CH18" s="156"/>
      <c r="CI18" s="156"/>
      <c r="CJ18" s="156"/>
      <c r="CK18" s="156"/>
      <c r="CL18" s="156"/>
      <c r="CM18" s="156"/>
      <c r="CN18" s="202"/>
    </row>
    <row r="20" spans="2:93" ht="15.75" thickBot="1" x14ac:dyDescent="0.3">
      <c r="B20" s="196" t="s">
        <v>84</v>
      </c>
      <c r="CO20" s="180" t="s">
        <v>85</v>
      </c>
    </row>
    <row r="21" spans="2:93" x14ac:dyDescent="0.25">
      <c r="B21" s="196" t="s">
        <v>86</v>
      </c>
      <c r="C21" s="255">
        <v>0.15</v>
      </c>
      <c r="D21" s="256"/>
      <c r="E21" s="256"/>
      <c r="F21" s="256"/>
      <c r="G21" s="257"/>
      <c r="H21" s="257"/>
      <c r="I21" s="257"/>
      <c r="J21" s="257"/>
      <c r="K21" s="257"/>
      <c r="L21" s="257"/>
      <c r="M21" s="257"/>
      <c r="N21" s="257"/>
      <c r="O21" s="257"/>
      <c r="P21" s="257"/>
      <c r="Q21" s="257"/>
      <c r="R21" s="257"/>
      <c r="S21" s="257"/>
      <c r="T21" s="257"/>
      <c r="U21" s="257"/>
      <c r="V21" s="257"/>
      <c r="W21" s="257"/>
      <c r="X21" s="257"/>
      <c r="Y21" s="257"/>
      <c r="Z21" s="257"/>
      <c r="AA21" s="257"/>
      <c r="AB21" s="257"/>
      <c r="AC21" s="257"/>
      <c r="AD21" s="257"/>
      <c r="AE21" s="257"/>
      <c r="AF21" s="257"/>
      <c r="AG21" s="257"/>
      <c r="AH21" s="257"/>
      <c r="AI21" s="258"/>
      <c r="AJ21" s="255">
        <v>0.15</v>
      </c>
      <c r="AK21" s="257"/>
      <c r="AL21" s="257"/>
      <c r="AM21" s="257"/>
      <c r="AN21" s="257"/>
      <c r="AO21" s="257"/>
      <c r="AP21" s="257"/>
      <c r="AQ21" s="257"/>
      <c r="AR21" s="257"/>
      <c r="AS21" s="257"/>
      <c r="AT21" s="257"/>
      <c r="AU21" s="257"/>
      <c r="AV21" s="257"/>
      <c r="AW21" s="257"/>
      <c r="AX21" s="257"/>
      <c r="AY21" s="257"/>
      <c r="AZ21" s="257"/>
      <c r="BA21" s="257"/>
      <c r="BB21" s="257"/>
      <c r="BC21" s="257"/>
      <c r="BD21" s="257"/>
      <c r="BE21" s="257"/>
      <c r="BF21" s="257"/>
      <c r="BG21" s="257"/>
      <c r="BH21" s="257"/>
      <c r="BI21" s="257"/>
      <c r="BJ21" s="257"/>
      <c r="BK21" s="257"/>
      <c r="BL21" s="257"/>
      <c r="BM21" s="258"/>
      <c r="BN21" s="255">
        <v>0.15</v>
      </c>
      <c r="BO21" s="257"/>
      <c r="BP21" s="257"/>
      <c r="BQ21" s="257"/>
      <c r="BR21" s="257"/>
      <c r="BS21" s="257"/>
      <c r="BT21" s="257"/>
      <c r="BU21" s="257"/>
      <c r="BV21" s="257"/>
      <c r="BW21" s="257"/>
      <c r="BX21" s="257"/>
      <c r="BY21" s="257"/>
      <c r="BZ21" s="257"/>
      <c r="CA21" s="257"/>
      <c r="CB21" s="257"/>
      <c r="CC21" s="257"/>
      <c r="CD21" s="257"/>
      <c r="CE21" s="257"/>
      <c r="CF21" s="257"/>
      <c r="CG21" s="257"/>
      <c r="CH21" s="257"/>
      <c r="CI21" s="257"/>
      <c r="CJ21" s="257"/>
      <c r="CK21" s="257"/>
      <c r="CL21" s="257"/>
      <c r="CM21" s="257"/>
      <c r="CN21" s="257"/>
      <c r="CO21" s="197">
        <f>C21+AJ21+BN21</f>
        <v>0.44999999999999996</v>
      </c>
    </row>
    <row r="22" spans="2:93" x14ac:dyDescent="0.25">
      <c r="B22" s="196" t="s">
        <v>23</v>
      </c>
      <c r="C22" s="245">
        <v>0.1</v>
      </c>
      <c r="D22" s="246"/>
      <c r="E22" s="246"/>
      <c r="F22" s="246"/>
      <c r="G22" s="247"/>
      <c r="H22" s="247"/>
      <c r="I22" s="247"/>
      <c r="J22" s="247"/>
      <c r="K22" s="247"/>
      <c r="L22" s="247"/>
      <c r="M22" s="247"/>
      <c r="N22" s="247"/>
      <c r="O22" s="247"/>
      <c r="P22" s="247"/>
      <c r="Q22" s="247"/>
      <c r="R22" s="247"/>
      <c r="S22" s="247"/>
      <c r="T22" s="247"/>
      <c r="U22" s="247"/>
      <c r="V22" s="247"/>
      <c r="W22" s="247"/>
      <c r="X22" s="247"/>
      <c r="Y22" s="247"/>
      <c r="Z22" s="247"/>
      <c r="AA22" s="247"/>
      <c r="AB22" s="247"/>
      <c r="AC22" s="247"/>
      <c r="AD22" s="247"/>
      <c r="AE22" s="247"/>
      <c r="AF22" s="247"/>
      <c r="AG22" s="247"/>
      <c r="AH22" s="247"/>
      <c r="AI22" s="248"/>
      <c r="AJ22" s="245">
        <v>0.15</v>
      </c>
      <c r="AK22" s="247"/>
      <c r="AL22" s="247"/>
      <c r="AM22" s="247"/>
      <c r="AN22" s="247"/>
      <c r="AO22" s="247"/>
      <c r="AP22" s="247"/>
      <c r="AQ22" s="247"/>
      <c r="AR22" s="247"/>
      <c r="AS22" s="247"/>
      <c r="AT22" s="247"/>
      <c r="AU22" s="247"/>
      <c r="AV22" s="247"/>
      <c r="AW22" s="247"/>
      <c r="AX22" s="247"/>
      <c r="AY22" s="247"/>
      <c r="AZ22" s="247"/>
      <c r="BA22" s="247"/>
      <c r="BB22" s="247"/>
      <c r="BC22" s="247"/>
      <c r="BD22" s="247"/>
      <c r="BE22" s="247"/>
      <c r="BF22" s="247"/>
      <c r="BG22" s="247"/>
      <c r="BH22" s="247"/>
      <c r="BI22" s="247"/>
      <c r="BJ22" s="247"/>
      <c r="BK22" s="247"/>
      <c r="BL22" s="247"/>
      <c r="BM22" s="248"/>
      <c r="BN22" s="245">
        <v>0.2</v>
      </c>
      <c r="BO22" s="247"/>
      <c r="BP22" s="247"/>
      <c r="BQ22" s="247"/>
      <c r="BR22" s="247"/>
      <c r="BS22" s="247"/>
      <c r="BT22" s="247"/>
      <c r="BU22" s="247"/>
      <c r="BV22" s="247"/>
      <c r="BW22" s="247"/>
      <c r="BX22" s="247"/>
      <c r="BY22" s="247"/>
      <c r="BZ22" s="247"/>
      <c r="CA22" s="247"/>
      <c r="CB22" s="247"/>
      <c r="CC22" s="247"/>
      <c r="CD22" s="247"/>
      <c r="CE22" s="247"/>
      <c r="CF22" s="247"/>
      <c r="CG22" s="247"/>
      <c r="CH22" s="247"/>
      <c r="CI22" s="247"/>
      <c r="CJ22" s="247"/>
      <c r="CK22" s="247"/>
      <c r="CL22" s="247"/>
      <c r="CM22" s="247"/>
      <c r="CN22" s="247"/>
      <c r="CO22" s="198">
        <f t="shared" ref="CO22:CO24" si="0">C22+AJ22+BN22</f>
        <v>0.45</v>
      </c>
    </row>
    <row r="23" spans="2:93" x14ac:dyDescent="0.25">
      <c r="B23" s="196" t="s">
        <v>87</v>
      </c>
      <c r="C23" s="245">
        <v>0.3</v>
      </c>
      <c r="D23" s="246"/>
      <c r="E23" s="246"/>
      <c r="F23" s="246"/>
      <c r="G23" s="247"/>
      <c r="H23" s="247"/>
      <c r="I23" s="247"/>
      <c r="J23" s="247"/>
      <c r="K23" s="247"/>
      <c r="L23" s="247"/>
      <c r="M23" s="247"/>
      <c r="N23" s="247"/>
      <c r="O23" s="247"/>
      <c r="P23" s="247"/>
      <c r="Q23" s="247"/>
      <c r="R23" s="247"/>
      <c r="S23" s="247"/>
      <c r="T23" s="247"/>
      <c r="U23" s="247"/>
      <c r="V23" s="247"/>
      <c r="W23" s="247"/>
      <c r="X23" s="247"/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8"/>
      <c r="AJ23" s="245">
        <v>0.4</v>
      </c>
      <c r="AK23" s="247"/>
      <c r="AL23" s="247"/>
      <c r="AM23" s="247"/>
      <c r="AN23" s="247"/>
      <c r="AO23" s="247"/>
      <c r="AP23" s="247"/>
      <c r="AQ23" s="247"/>
      <c r="AR23" s="247"/>
      <c r="AS23" s="247"/>
      <c r="AT23" s="247"/>
      <c r="AU23" s="247"/>
      <c r="AV23" s="247"/>
      <c r="AW23" s="247"/>
      <c r="AX23" s="247"/>
      <c r="AY23" s="247"/>
      <c r="AZ23" s="247"/>
      <c r="BA23" s="247"/>
      <c r="BB23" s="247"/>
      <c r="BC23" s="247"/>
      <c r="BD23" s="247"/>
      <c r="BE23" s="247"/>
      <c r="BF23" s="247"/>
      <c r="BG23" s="247"/>
      <c r="BH23" s="247"/>
      <c r="BI23" s="247"/>
      <c r="BJ23" s="247"/>
      <c r="BK23" s="247"/>
      <c r="BL23" s="247"/>
      <c r="BM23" s="248"/>
      <c r="BN23" s="245">
        <v>0.05</v>
      </c>
      <c r="BO23" s="247"/>
      <c r="BP23" s="247"/>
      <c r="BQ23" s="247"/>
      <c r="BR23" s="247"/>
      <c r="BS23" s="247"/>
      <c r="BT23" s="247"/>
      <c r="BU23" s="247"/>
      <c r="BV23" s="247"/>
      <c r="BW23" s="247"/>
      <c r="BX23" s="247"/>
      <c r="BY23" s="247"/>
      <c r="BZ23" s="247"/>
      <c r="CA23" s="247"/>
      <c r="CB23" s="247"/>
      <c r="CC23" s="247"/>
      <c r="CD23" s="247"/>
      <c r="CE23" s="247"/>
      <c r="CF23" s="247"/>
      <c r="CG23" s="247"/>
      <c r="CH23" s="247"/>
      <c r="CI23" s="247"/>
      <c r="CJ23" s="247"/>
      <c r="CK23" s="247"/>
      <c r="CL23" s="247"/>
      <c r="CM23" s="247"/>
      <c r="CN23" s="247"/>
      <c r="CO23" s="198">
        <f t="shared" si="0"/>
        <v>0.75</v>
      </c>
    </row>
    <row r="24" spans="2:93" ht="15.75" thickBot="1" x14ac:dyDescent="0.3">
      <c r="B24" s="196" t="s">
        <v>88</v>
      </c>
      <c r="C24" s="241">
        <v>0.3</v>
      </c>
      <c r="D24" s="242"/>
      <c r="E24" s="242"/>
      <c r="F24" s="242"/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  <c r="R24" s="243"/>
      <c r="S24" s="243"/>
      <c r="T24" s="243"/>
      <c r="U24" s="243"/>
      <c r="V24" s="243"/>
      <c r="W24" s="243"/>
      <c r="X24" s="243"/>
      <c r="Y24" s="243"/>
      <c r="Z24" s="243"/>
      <c r="AA24" s="243"/>
      <c r="AB24" s="243"/>
      <c r="AC24" s="243"/>
      <c r="AD24" s="243"/>
      <c r="AE24" s="243"/>
      <c r="AF24" s="243"/>
      <c r="AG24" s="243"/>
      <c r="AH24" s="243"/>
      <c r="AI24" s="244"/>
      <c r="AJ24" s="241">
        <v>0.4</v>
      </c>
      <c r="AK24" s="243"/>
      <c r="AL24" s="243"/>
      <c r="AM24" s="243"/>
      <c r="AN24" s="243"/>
      <c r="AO24" s="243"/>
      <c r="AP24" s="243"/>
      <c r="AQ24" s="243"/>
      <c r="AR24" s="243"/>
      <c r="AS24" s="243"/>
      <c r="AT24" s="243"/>
      <c r="AU24" s="243"/>
      <c r="AV24" s="243"/>
      <c r="AW24" s="243"/>
      <c r="AX24" s="243"/>
      <c r="AY24" s="243"/>
      <c r="AZ24" s="243"/>
      <c r="BA24" s="243"/>
      <c r="BB24" s="243"/>
      <c r="BC24" s="243"/>
      <c r="BD24" s="243"/>
      <c r="BE24" s="243"/>
      <c r="BF24" s="243"/>
      <c r="BG24" s="243"/>
      <c r="BH24" s="243"/>
      <c r="BI24" s="243"/>
      <c r="BJ24" s="243"/>
      <c r="BK24" s="243"/>
      <c r="BL24" s="243"/>
      <c r="BM24" s="244"/>
      <c r="BN24" s="241">
        <v>0.05</v>
      </c>
      <c r="BO24" s="243"/>
      <c r="BP24" s="243"/>
      <c r="BQ24" s="243"/>
      <c r="BR24" s="243"/>
      <c r="BS24" s="243"/>
      <c r="BT24" s="243"/>
      <c r="BU24" s="243"/>
      <c r="BV24" s="243"/>
      <c r="BW24" s="243"/>
      <c r="BX24" s="243"/>
      <c r="BY24" s="243"/>
      <c r="BZ24" s="243"/>
      <c r="CA24" s="243"/>
      <c r="CB24" s="243"/>
      <c r="CC24" s="243"/>
      <c r="CD24" s="243"/>
      <c r="CE24" s="243"/>
      <c r="CF24" s="243"/>
      <c r="CG24" s="243"/>
      <c r="CH24" s="243"/>
      <c r="CI24" s="243"/>
      <c r="CJ24" s="243"/>
      <c r="CK24" s="243"/>
      <c r="CL24" s="243"/>
      <c r="CM24" s="243"/>
      <c r="CN24" s="243"/>
      <c r="CO24" s="199">
        <f t="shared" si="0"/>
        <v>0.75</v>
      </c>
    </row>
  </sheetData>
  <mergeCells count="16">
    <mergeCell ref="C3:AI3"/>
    <mergeCell ref="AJ3:BM3"/>
    <mergeCell ref="BN3:CN3"/>
    <mergeCell ref="B3:B4"/>
    <mergeCell ref="C21:AI21"/>
    <mergeCell ref="AJ21:BM21"/>
    <mergeCell ref="BN21:CN21"/>
    <mergeCell ref="C24:AI24"/>
    <mergeCell ref="AJ24:BM24"/>
    <mergeCell ref="BN24:CN24"/>
    <mergeCell ref="C22:AI22"/>
    <mergeCell ref="AJ22:BM22"/>
    <mergeCell ref="BN22:CN22"/>
    <mergeCell ref="C23:AI23"/>
    <mergeCell ref="AJ23:BM23"/>
    <mergeCell ref="BN23:CN2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K40"/>
  <sheetViews>
    <sheetView topLeftCell="A27" zoomScale="80" zoomScaleNormal="80" workbookViewId="0">
      <selection activeCell="K18" sqref="K18"/>
    </sheetView>
  </sheetViews>
  <sheetFormatPr baseColWidth="10" defaultColWidth="11.42578125" defaultRowHeight="15" x14ac:dyDescent="0.25"/>
  <cols>
    <col min="1" max="1" width="5.85546875" customWidth="1"/>
    <col min="2" max="2" width="6.7109375" customWidth="1"/>
    <col min="3" max="3" width="10" customWidth="1"/>
    <col min="4" max="4" width="97.28515625" customWidth="1"/>
    <col min="5" max="5" width="25.7109375" customWidth="1"/>
    <col min="6" max="7" width="21" customWidth="1"/>
    <col min="8" max="8" width="19.42578125" customWidth="1"/>
    <col min="9" max="9" width="19.5703125" customWidth="1"/>
    <col min="10" max="10" width="19.28515625" customWidth="1"/>
    <col min="11" max="11" width="17" customWidth="1"/>
  </cols>
  <sheetData>
    <row r="3" spans="3:11" x14ac:dyDescent="0.25">
      <c r="C3" s="104" t="s">
        <v>89</v>
      </c>
      <c r="D3" t="s">
        <v>90</v>
      </c>
      <c r="E3">
        <f>206*3</f>
        <v>618</v>
      </c>
      <c r="F3" t="s">
        <v>91</v>
      </c>
    </row>
    <row r="4" spans="3:11" x14ac:dyDescent="0.25">
      <c r="C4" s="104" t="s">
        <v>92</v>
      </c>
      <c r="D4" t="s">
        <v>93</v>
      </c>
      <c r="E4">
        <v>48</v>
      </c>
      <c r="F4" t="s">
        <v>94</v>
      </c>
    </row>
    <row r="5" spans="3:11" x14ac:dyDescent="0.25">
      <c r="C5" s="104" t="s">
        <v>95</v>
      </c>
      <c r="D5" t="s">
        <v>96</v>
      </c>
      <c r="E5">
        <v>4.3</v>
      </c>
      <c r="F5" t="s">
        <v>97</v>
      </c>
    </row>
    <row r="6" spans="3:11" x14ac:dyDescent="0.25">
      <c r="C6" s="104"/>
      <c r="E6">
        <v>3</v>
      </c>
      <c r="F6" t="s">
        <v>98</v>
      </c>
    </row>
    <row r="7" spans="3:11" x14ac:dyDescent="0.25">
      <c r="C7" s="104"/>
      <c r="E7">
        <v>1</v>
      </c>
      <c r="F7" t="s">
        <v>98</v>
      </c>
      <c r="G7">
        <v>206</v>
      </c>
      <c r="H7" t="s">
        <v>99</v>
      </c>
      <c r="I7" s="90">
        <f>G7/E5</f>
        <v>47.906976744186046</v>
      </c>
      <c r="J7" t="s">
        <v>100</v>
      </c>
    </row>
    <row r="8" spans="3:11" x14ac:dyDescent="0.25">
      <c r="C8" s="104"/>
    </row>
    <row r="9" spans="3:11" ht="15.75" thickBot="1" x14ac:dyDescent="0.3">
      <c r="C9" s="104"/>
    </row>
    <row r="10" spans="3:11" ht="26.25" customHeight="1" thickBot="1" x14ac:dyDescent="0.3">
      <c r="C10" s="259" t="s">
        <v>101</v>
      </c>
      <c r="D10" s="260"/>
      <c r="E10" s="260"/>
      <c r="F10" s="260"/>
      <c r="G10" s="260"/>
      <c r="H10" s="260"/>
      <c r="I10" s="260"/>
      <c r="J10" s="260"/>
      <c r="K10" s="261"/>
    </row>
    <row r="11" spans="3:11" ht="30.75" thickBot="1" x14ac:dyDescent="0.3">
      <c r="C11" s="162" t="s">
        <v>102</v>
      </c>
      <c r="D11" s="163" t="s">
        <v>103</v>
      </c>
      <c r="E11" s="163" t="s">
        <v>104</v>
      </c>
      <c r="F11" s="164" t="s">
        <v>105</v>
      </c>
      <c r="G11" s="164" t="s">
        <v>106</v>
      </c>
      <c r="H11" s="164" t="s">
        <v>107</v>
      </c>
      <c r="I11" s="164" t="s">
        <v>108</v>
      </c>
      <c r="J11" s="164" t="s">
        <v>109</v>
      </c>
      <c r="K11" s="165" t="s">
        <v>110</v>
      </c>
    </row>
    <row r="12" spans="3:11" x14ac:dyDescent="0.25">
      <c r="C12" s="160">
        <v>1</v>
      </c>
      <c r="D12" s="155" t="s">
        <v>111</v>
      </c>
      <c r="E12" s="158">
        <f>1/E3</f>
        <v>1.6181229773462784E-3</v>
      </c>
      <c r="F12" s="158">
        <f>1*5</f>
        <v>5</v>
      </c>
      <c r="G12" s="158">
        <v>4.3</v>
      </c>
      <c r="H12" s="158">
        <f t="shared" ref="H12:H17" si="0">G12*F12</f>
        <v>21.5</v>
      </c>
      <c r="I12" s="158">
        <v>3</v>
      </c>
      <c r="J12" s="158">
        <f t="shared" ref="J12:J17" si="1">H12*I12</f>
        <v>64.5</v>
      </c>
      <c r="K12" s="161">
        <f t="shared" ref="K12:K17" si="2">J12/$E$3</f>
        <v>0.10436893203883495</v>
      </c>
    </row>
    <row r="13" spans="3:11" x14ac:dyDescent="0.25">
      <c r="C13" s="107">
        <v>2</v>
      </c>
      <c r="D13" s="153" t="s">
        <v>112</v>
      </c>
      <c r="E13" s="150">
        <f>0.7/E3</f>
        <v>1.1326860841423948E-3</v>
      </c>
      <c r="F13" s="150">
        <f>0.7*5</f>
        <v>3.5</v>
      </c>
      <c r="G13" s="150">
        <v>4.3</v>
      </c>
      <c r="H13" s="150">
        <f t="shared" si="0"/>
        <v>15.049999999999999</v>
      </c>
      <c r="I13" s="150">
        <v>3</v>
      </c>
      <c r="J13" s="150">
        <f t="shared" si="1"/>
        <v>45.15</v>
      </c>
      <c r="K13" s="151">
        <f t="shared" si="2"/>
        <v>7.3058252427184459E-2</v>
      </c>
    </row>
    <row r="14" spans="3:11" x14ac:dyDescent="0.25">
      <c r="C14" s="107">
        <v>3</v>
      </c>
      <c r="D14" s="153" t="s">
        <v>113</v>
      </c>
      <c r="E14" s="150">
        <f>0.7/E3</f>
        <v>1.1326860841423948E-3</v>
      </c>
      <c r="F14" s="158">
        <f>0.7*5</f>
        <v>3.5</v>
      </c>
      <c r="G14" s="150">
        <v>4.3</v>
      </c>
      <c r="H14" s="150">
        <f t="shared" si="0"/>
        <v>15.049999999999999</v>
      </c>
      <c r="I14" s="150">
        <v>3</v>
      </c>
      <c r="J14" s="150">
        <f t="shared" si="1"/>
        <v>45.15</v>
      </c>
      <c r="K14" s="151">
        <f t="shared" si="2"/>
        <v>7.3058252427184459E-2</v>
      </c>
    </row>
    <row r="15" spans="3:11" x14ac:dyDescent="0.25">
      <c r="C15" s="107">
        <v>4</v>
      </c>
      <c r="D15" s="153" t="s">
        <v>114</v>
      </c>
      <c r="E15" s="150">
        <f>0.7/E3</f>
        <v>1.1326860841423948E-3</v>
      </c>
      <c r="F15" s="150">
        <f>0.7*5</f>
        <v>3.5</v>
      </c>
      <c r="G15" s="150">
        <v>4.3</v>
      </c>
      <c r="H15" s="150">
        <f t="shared" si="0"/>
        <v>15.049999999999999</v>
      </c>
      <c r="I15" s="150">
        <v>3</v>
      </c>
      <c r="J15" s="150">
        <f t="shared" si="1"/>
        <v>45.15</v>
      </c>
      <c r="K15" s="151">
        <f t="shared" si="2"/>
        <v>7.3058252427184459E-2</v>
      </c>
    </row>
    <row r="16" spans="3:11" x14ac:dyDescent="0.25">
      <c r="C16" s="107">
        <v>5</v>
      </c>
      <c r="D16" s="153" t="s">
        <v>115</v>
      </c>
      <c r="E16" s="154">
        <f>4/E3</f>
        <v>6.4724919093851136E-3</v>
      </c>
      <c r="F16" s="105">
        <f>1*5</f>
        <v>5</v>
      </c>
      <c r="G16" s="150">
        <v>4.3</v>
      </c>
      <c r="H16" s="106">
        <f t="shared" si="0"/>
        <v>21.5</v>
      </c>
      <c r="I16" s="150">
        <v>3</v>
      </c>
      <c r="J16" s="106">
        <f t="shared" si="1"/>
        <v>64.5</v>
      </c>
      <c r="K16" s="151">
        <f t="shared" si="2"/>
        <v>0.10436893203883495</v>
      </c>
    </row>
    <row r="17" spans="3:11" ht="15.75" thickBot="1" x14ac:dyDescent="0.3">
      <c r="C17" s="159">
        <v>6</v>
      </c>
      <c r="D17" s="156" t="s">
        <v>116</v>
      </c>
      <c r="E17" s="157">
        <f>6/E3</f>
        <v>9.7087378640776691E-3</v>
      </c>
      <c r="F17" s="108">
        <f>0.3*3</f>
        <v>0.89999999999999991</v>
      </c>
      <c r="G17" s="109">
        <v>4.3</v>
      </c>
      <c r="H17" s="110">
        <f t="shared" si="0"/>
        <v>3.8699999999999997</v>
      </c>
      <c r="I17" s="109">
        <v>4</v>
      </c>
      <c r="J17" s="110">
        <f t="shared" si="1"/>
        <v>15.479999999999999</v>
      </c>
      <c r="K17" s="152">
        <f t="shared" si="2"/>
        <v>2.5048543689320385E-2</v>
      </c>
    </row>
    <row r="18" spans="3:11" ht="15.75" thickBot="1" x14ac:dyDescent="0.3">
      <c r="C18" s="262" t="s">
        <v>117</v>
      </c>
      <c r="D18" s="263"/>
      <c r="E18" s="263"/>
      <c r="F18" s="263"/>
      <c r="G18" s="263"/>
      <c r="H18" s="263"/>
      <c r="I18" s="263"/>
      <c r="J18" s="264"/>
      <c r="K18" s="92">
        <f>SUM(K12:K17)</f>
        <v>0.45296116504854367</v>
      </c>
    </row>
    <row r="20" spans="3:11" ht="15.75" thickBot="1" x14ac:dyDescent="0.3"/>
    <row r="21" spans="3:11" ht="25.5" customHeight="1" thickBot="1" x14ac:dyDescent="0.3">
      <c r="C21" s="259" t="s">
        <v>118</v>
      </c>
      <c r="D21" s="260"/>
      <c r="E21" s="260"/>
      <c r="F21" s="260"/>
      <c r="G21" s="260"/>
      <c r="H21" s="260"/>
      <c r="I21" s="260"/>
      <c r="J21" s="260"/>
      <c r="K21" s="261"/>
    </row>
    <row r="22" spans="3:11" ht="30.75" thickBot="1" x14ac:dyDescent="0.3">
      <c r="C22" s="162" t="s">
        <v>102</v>
      </c>
      <c r="D22" s="163" t="s">
        <v>103</v>
      </c>
      <c r="E22" s="163" t="s">
        <v>104</v>
      </c>
      <c r="F22" s="164" t="s">
        <v>105</v>
      </c>
      <c r="G22" s="164" t="s">
        <v>106</v>
      </c>
      <c r="H22" s="164" t="s">
        <v>107</v>
      </c>
      <c r="I22" s="164" t="s">
        <v>108</v>
      </c>
      <c r="J22" s="164" t="s">
        <v>109</v>
      </c>
      <c r="K22" s="165" t="s">
        <v>110</v>
      </c>
    </row>
    <row r="23" spans="3:11" x14ac:dyDescent="0.25">
      <c r="C23" s="160">
        <v>1</v>
      </c>
      <c r="D23" s="155" t="s">
        <v>119</v>
      </c>
      <c r="E23" s="158">
        <f>3/E3</f>
        <v>4.8543689320388345E-3</v>
      </c>
      <c r="F23" s="158">
        <f>3*5</f>
        <v>15</v>
      </c>
      <c r="G23" s="158">
        <v>4.3</v>
      </c>
      <c r="H23" s="158">
        <f>G23*F23</f>
        <v>64.5</v>
      </c>
      <c r="I23" s="158">
        <v>3</v>
      </c>
      <c r="J23" s="158">
        <f>H23*I23</f>
        <v>193.5</v>
      </c>
      <c r="K23" s="161">
        <f t="shared" ref="K23:K28" si="3">J23/$E$3</f>
        <v>0.31310679611650488</v>
      </c>
    </row>
    <row r="24" spans="3:11" x14ac:dyDescent="0.25">
      <c r="C24" s="107">
        <v>2</v>
      </c>
      <c r="D24" s="153" t="s">
        <v>120</v>
      </c>
      <c r="E24" s="158">
        <f>1/E3</f>
        <v>1.6181229773462784E-3</v>
      </c>
      <c r="F24" s="158">
        <f>1*5</f>
        <v>5</v>
      </c>
      <c r="G24" s="150">
        <v>4.3</v>
      </c>
      <c r="H24" s="150">
        <f t="shared" ref="H24:H28" si="4">G24*F24</f>
        <v>21.5</v>
      </c>
      <c r="I24" s="150">
        <v>3</v>
      </c>
      <c r="J24" s="150">
        <f t="shared" ref="J24:J28" si="5">H24*I24</f>
        <v>64.5</v>
      </c>
      <c r="K24" s="151">
        <f t="shared" si="3"/>
        <v>0.10436893203883495</v>
      </c>
    </row>
    <row r="25" spans="3:11" x14ac:dyDescent="0.25">
      <c r="C25" s="107">
        <v>3</v>
      </c>
      <c r="D25" s="153" t="s">
        <v>121</v>
      </c>
      <c r="E25" s="158">
        <f>1.5/E3</f>
        <v>2.4271844660194173E-3</v>
      </c>
      <c r="F25" s="158">
        <f>1.5*5</f>
        <v>7.5</v>
      </c>
      <c r="G25" s="150">
        <v>4.3</v>
      </c>
      <c r="H25" s="150">
        <f t="shared" si="4"/>
        <v>32.25</v>
      </c>
      <c r="I25" s="150">
        <v>3</v>
      </c>
      <c r="J25" s="150">
        <f t="shared" si="5"/>
        <v>96.75</v>
      </c>
      <c r="K25" s="151">
        <f t="shared" si="3"/>
        <v>0.15655339805825244</v>
      </c>
    </row>
    <row r="26" spans="3:11" x14ac:dyDescent="0.25">
      <c r="C26" s="107">
        <v>4</v>
      </c>
      <c r="D26" s="153" t="s">
        <v>122</v>
      </c>
      <c r="E26" s="158">
        <f>1.3/E3</f>
        <v>2.103559870550162E-3</v>
      </c>
      <c r="F26" s="150">
        <f>1.3*5</f>
        <v>6.5</v>
      </c>
      <c r="G26" s="150">
        <v>4.3</v>
      </c>
      <c r="H26" s="150">
        <f t="shared" si="4"/>
        <v>27.95</v>
      </c>
      <c r="I26" s="150">
        <v>3</v>
      </c>
      <c r="J26" s="150">
        <f t="shared" si="5"/>
        <v>83.85</v>
      </c>
      <c r="K26" s="151">
        <f t="shared" si="3"/>
        <v>0.13567961165048542</v>
      </c>
    </row>
    <row r="27" spans="3:11" x14ac:dyDescent="0.25">
      <c r="C27" s="107">
        <v>5</v>
      </c>
      <c r="D27" s="153" t="s">
        <v>123</v>
      </c>
      <c r="E27" s="154">
        <f>16/E16</f>
        <v>2472</v>
      </c>
      <c r="F27" s="105">
        <v>1.4</v>
      </c>
      <c r="G27" s="150">
        <v>4.3</v>
      </c>
      <c r="H27" s="106">
        <f t="shared" si="4"/>
        <v>6.02</v>
      </c>
      <c r="I27" s="150">
        <v>3</v>
      </c>
      <c r="J27" s="106">
        <f t="shared" si="5"/>
        <v>18.059999999999999</v>
      </c>
      <c r="K27" s="151">
        <f t="shared" si="3"/>
        <v>2.9223300970873785E-2</v>
      </c>
    </row>
    <row r="28" spans="3:11" ht="15.75" thickBot="1" x14ac:dyDescent="0.3">
      <c r="C28" s="159">
        <v>6</v>
      </c>
      <c r="D28" s="156" t="s">
        <v>116</v>
      </c>
      <c r="E28" s="157">
        <f>6/E16</f>
        <v>927</v>
      </c>
      <c r="F28" s="108">
        <v>0.5</v>
      </c>
      <c r="G28" s="109">
        <v>4.3</v>
      </c>
      <c r="H28" s="110">
        <f t="shared" si="4"/>
        <v>2.15</v>
      </c>
      <c r="I28" s="109">
        <v>4</v>
      </c>
      <c r="J28" s="110">
        <f t="shared" si="5"/>
        <v>8.6</v>
      </c>
      <c r="K28" s="152">
        <f t="shared" si="3"/>
        <v>1.3915857605177993E-2</v>
      </c>
    </row>
    <row r="29" spans="3:11" ht="15.75" thickBot="1" x14ac:dyDescent="0.3">
      <c r="C29" s="262" t="s">
        <v>117</v>
      </c>
      <c r="D29" s="263"/>
      <c r="E29" s="263"/>
      <c r="F29" s="263"/>
      <c r="G29" s="263"/>
      <c r="H29" s="263"/>
      <c r="I29" s="263"/>
      <c r="J29" s="264"/>
      <c r="K29" s="92">
        <f>SUM(K23:K28)</f>
        <v>0.75284789644012939</v>
      </c>
    </row>
    <row r="31" spans="3:11" ht="15.75" thickBot="1" x14ac:dyDescent="0.3"/>
    <row r="32" spans="3:11" ht="25.5" customHeight="1" thickBot="1" x14ac:dyDescent="0.3">
      <c r="C32" s="259" t="s">
        <v>124</v>
      </c>
      <c r="D32" s="260"/>
      <c r="E32" s="260"/>
      <c r="F32" s="260"/>
      <c r="G32" s="260"/>
      <c r="H32" s="260"/>
      <c r="I32" s="260"/>
      <c r="J32" s="260"/>
      <c r="K32" s="261"/>
    </row>
    <row r="33" spans="3:11" ht="30.75" thickBot="1" x14ac:dyDescent="0.3">
      <c r="C33" s="162" t="s">
        <v>102</v>
      </c>
      <c r="D33" s="163" t="s">
        <v>103</v>
      </c>
      <c r="E33" s="163" t="s">
        <v>104</v>
      </c>
      <c r="F33" s="164" t="s">
        <v>105</v>
      </c>
      <c r="G33" s="164" t="s">
        <v>106</v>
      </c>
      <c r="H33" s="164" t="s">
        <v>107</v>
      </c>
      <c r="I33" s="164" t="s">
        <v>108</v>
      </c>
      <c r="J33" s="164" t="s">
        <v>109</v>
      </c>
      <c r="K33" s="165" t="s">
        <v>110</v>
      </c>
    </row>
    <row r="34" spans="3:11" x14ac:dyDescent="0.25">
      <c r="C34" s="160">
        <v>1</v>
      </c>
      <c r="D34" s="155" t="s">
        <v>111</v>
      </c>
      <c r="E34" s="158">
        <f>1/E25</f>
        <v>412.00000000000006</v>
      </c>
      <c r="F34" s="158">
        <f>1*5</f>
        <v>5</v>
      </c>
      <c r="G34" s="158">
        <v>4.3</v>
      </c>
      <c r="H34" s="158">
        <f t="shared" ref="H34:H39" si="6">G34*F34</f>
        <v>21.5</v>
      </c>
      <c r="I34" s="158">
        <v>3</v>
      </c>
      <c r="J34" s="158">
        <f t="shared" ref="J34:J39" si="7">H34*I34</f>
        <v>64.5</v>
      </c>
      <c r="K34" s="161">
        <f t="shared" ref="K34:K39" si="8">J34/$E$3</f>
        <v>0.10436893203883495</v>
      </c>
    </row>
    <row r="35" spans="3:11" x14ac:dyDescent="0.25">
      <c r="C35" s="107">
        <v>2</v>
      </c>
      <c r="D35" s="153" t="s">
        <v>112</v>
      </c>
      <c r="E35" s="150">
        <f>0.7/E25</f>
        <v>288.40000000000003</v>
      </c>
      <c r="F35" s="150">
        <f>0.7*5</f>
        <v>3.5</v>
      </c>
      <c r="G35" s="150">
        <v>4.3</v>
      </c>
      <c r="H35" s="150">
        <f t="shared" si="6"/>
        <v>15.049999999999999</v>
      </c>
      <c r="I35" s="150">
        <v>3</v>
      </c>
      <c r="J35" s="150">
        <f t="shared" si="7"/>
        <v>45.15</v>
      </c>
      <c r="K35" s="151">
        <f t="shared" si="8"/>
        <v>7.3058252427184459E-2</v>
      </c>
    </row>
    <row r="36" spans="3:11" x14ac:dyDescent="0.25">
      <c r="C36" s="107">
        <v>3</v>
      </c>
      <c r="D36" s="153" t="s">
        <v>113</v>
      </c>
      <c r="E36" s="150">
        <f>0.7/E25</f>
        <v>288.40000000000003</v>
      </c>
      <c r="F36" s="158">
        <f>0.7*5</f>
        <v>3.5</v>
      </c>
      <c r="G36" s="150">
        <v>4.3</v>
      </c>
      <c r="H36" s="150">
        <f t="shared" si="6"/>
        <v>15.049999999999999</v>
      </c>
      <c r="I36" s="150">
        <v>3</v>
      </c>
      <c r="J36" s="150">
        <f t="shared" si="7"/>
        <v>45.15</v>
      </c>
      <c r="K36" s="151">
        <f t="shared" si="8"/>
        <v>7.3058252427184459E-2</v>
      </c>
    </row>
    <row r="37" spans="3:11" x14ac:dyDescent="0.25">
      <c r="C37" s="107">
        <v>4</v>
      </c>
      <c r="D37" s="153" t="s">
        <v>114</v>
      </c>
      <c r="E37" s="150">
        <f>0.7/E25</f>
        <v>288.40000000000003</v>
      </c>
      <c r="F37" s="150">
        <f>0.7*5</f>
        <v>3.5</v>
      </c>
      <c r="G37" s="150">
        <v>4.3</v>
      </c>
      <c r="H37" s="150">
        <f t="shared" si="6"/>
        <v>15.049999999999999</v>
      </c>
      <c r="I37" s="150">
        <v>3</v>
      </c>
      <c r="J37" s="150">
        <f t="shared" si="7"/>
        <v>45.15</v>
      </c>
      <c r="K37" s="151">
        <f t="shared" si="8"/>
        <v>7.3058252427184459E-2</v>
      </c>
    </row>
    <row r="38" spans="3:11" x14ac:dyDescent="0.25">
      <c r="C38" s="107">
        <v>5</v>
      </c>
      <c r="D38" s="153" t="s">
        <v>115</v>
      </c>
      <c r="E38" s="154">
        <f>4/E25</f>
        <v>1648.0000000000002</v>
      </c>
      <c r="F38" s="105">
        <f>1*5</f>
        <v>5</v>
      </c>
      <c r="G38" s="150">
        <v>4.3</v>
      </c>
      <c r="H38" s="106">
        <f t="shared" si="6"/>
        <v>21.5</v>
      </c>
      <c r="I38" s="150">
        <v>3</v>
      </c>
      <c r="J38" s="106">
        <f t="shared" si="7"/>
        <v>64.5</v>
      </c>
      <c r="K38" s="151">
        <f t="shared" si="8"/>
        <v>0.10436893203883495</v>
      </c>
    </row>
    <row r="39" spans="3:11" ht="15.75" thickBot="1" x14ac:dyDescent="0.3">
      <c r="C39" s="159">
        <v>6</v>
      </c>
      <c r="D39" s="156" t="s">
        <v>116</v>
      </c>
      <c r="E39" s="157">
        <f>6/E25</f>
        <v>2472</v>
      </c>
      <c r="F39" s="108">
        <f>0.3*3</f>
        <v>0.89999999999999991</v>
      </c>
      <c r="G39" s="109">
        <v>4.3</v>
      </c>
      <c r="H39" s="110">
        <f t="shared" si="6"/>
        <v>3.8699999999999997</v>
      </c>
      <c r="I39" s="109">
        <v>4</v>
      </c>
      <c r="J39" s="110">
        <f t="shared" si="7"/>
        <v>15.479999999999999</v>
      </c>
      <c r="K39" s="152">
        <f t="shared" si="8"/>
        <v>2.5048543689320385E-2</v>
      </c>
    </row>
    <row r="40" spans="3:11" ht="15.75" thickBot="1" x14ac:dyDescent="0.3">
      <c r="C40" s="262" t="s">
        <v>117</v>
      </c>
      <c r="D40" s="263"/>
      <c r="E40" s="263"/>
      <c r="F40" s="263"/>
      <c r="G40" s="263"/>
      <c r="H40" s="263"/>
      <c r="I40" s="263"/>
      <c r="J40" s="264"/>
      <c r="K40" s="92">
        <f>SUM(K34:K39)</f>
        <v>0.45296116504854367</v>
      </c>
    </row>
  </sheetData>
  <mergeCells count="6">
    <mergeCell ref="C32:K32"/>
    <mergeCell ref="C40:J40"/>
    <mergeCell ref="C18:J18"/>
    <mergeCell ref="C10:K10"/>
    <mergeCell ref="C21:K21"/>
    <mergeCell ref="C29:J29"/>
  </mergeCells>
  <pageMargins left="0.7" right="0.7" top="0.75" bottom="0.75" header="0.3" footer="0.3"/>
  <pageSetup orientation="portrait" r:id="rId1"/>
  <ignoredErrors>
    <ignoredError sqref="F25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1"/>
  <sheetViews>
    <sheetView topLeftCell="A17" workbookViewId="0">
      <selection activeCell="G10" sqref="G10"/>
    </sheetView>
  </sheetViews>
  <sheetFormatPr baseColWidth="10" defaultColWidth="11.42578125" defaultRowHeight="15" x14ac:dyDescent="0.25"/>
  <cols>
    <col min="3" max="3" width="24.28515625" bestFit="1" customWidth="1"/>
    <col min="4" max="4" width="14.5703125" style="176" bestFit="1" customWidth="1"/>
    <col min="5" max="5" width="18.7109375" customWidth="1"/>
  </cols>
  <sheetData>
    <row r="2" spans="3:6" x14ac:dyDescent="0.25">
      <c r="C2" s="153"/>
      <c r="D2" s="172" t="s">
        <v>125</v>
      </c>
      <c r="E2" s="173" t="s">
        <v>126</v>
      </c>
      <c r="F2" s="174">
        <f>+[2]IndicesIPC!W19</f>
        <v>1.7482383087764253</v>
      </c>
    </row>
    <row r="3" spans="3:6" x14ac:dyDescent="0.25">
      <c r="C3" s="153" t="s">
        <v>86</v>
      </c>
      <c r="D3" s="175">
        <v>8730000</v>
      </c>
      <c r="E3" s="175">
        <f>+D3*$F$2</f>
        <v>15262120.435618192</v>
      </c>
    </row>
    <row r="4" spans="3:6" x14ac:dyDescent="0.25">
      <c r="C4" s="153" t="s">
        <v>127</v>
      </c>
      <c r="D4" s="175">
        <v>6653000</v>
      </c>
      <c r="E4" s="175">
        <f t="shared" ref="E4:E10" si="0">+D4*$F$2</f>
        <v>11631029.468289558</v>
      </c>
    </row>
    <row r="5" spans="3:6" x14ac:dyDescent="0.25">
      <c r="C5" s="153" t="s">
        <v>25</v>
      </c>
      <c r="D5" s="175">
        <v>6653000</v>
      </c>
      <c r="E5" s="175">
        <f t="shared" si="0"/>
        <v>11631029.468289558</v>
      </c>
    </row>
    <row r="6" spans="3:6" x14ac:dyDescent="0.25">
      <c r="C6" s="153" t="s">
        <v>26</v>
      </c>
      <c r="D6" s="175">
        <v>6653000</v>
      </c>
      <c r="E6" s="175">
        <f t="shared" si="0"/>
        <v>11631029.468289558</v>
      </c>
    </row>
    <row r="7" spans="3:6" x14ac:dyDescent="0.25">
      <c r="C7" s="153" t="s">
        <v>31</v>
      </c>
      <c r="D7" s="175">
        <v>1874000</v>
      </c>
      <c r="E7" s="175">
        <f t="shared" si="0"/>
        <v>3276198.5906470208</v>
      </c>
    </row>
    <row r="8" spans="3:6" x14ac:dyDescent="0.25">
      <c r="C8" s="153" t="s">
        <v>33</v>
      </c>
      <c r="D8" s="175">
        <v>1164000</v>
      </c>
      <c r="E8" s="175">
        <f t="shared" si="0"/>
        <v>2034949.391415759</v>
      </c>
    </row>
    <row r="9" spans="3:6" x14ac:dyDescent="0.25">
      <c r="C9" s="153" t="s">
        <v>128</v>
      </c>
      <c r="D9" s="175">
        <v>2743000</v>
      </c>
      <c r="E9" s="175">
        <f t="shared" si="0"/>
        <v>4795417.6809737347</v>
      </c>
    </row>
    <row r="10" spans="3:6" x14ac:dyDescent="0.25">
      <c r="C10" s="153" t="s">
        <v>41</v>
      </c>
      <c r="D10" s="175">
        <v>843000</v>
      </c>
      <c r="E10" s="175">
        <f t="shared" si="0"/>
        <v>1473764.8942985265</v>
      </c>
    </row>
    <row r="11" spans="3:6" x14ac:dyDescent="0.25">
      <c r="E11" s="176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3"/>
  <sheetViews>
    <sheetView topLeftCell="A12" workbookViewId="0">
      <selection activeCell="P3" sqref="P3"/>
    </sheetView>
  </sheetViews>
  <sheetFormatPr baseColWidth="10" defaultColWidth="11.42578125" defaultRowHeight="15" x14ac:dyDescent="0.25"/>
  <sheetData>
    <row r="2" spans="2:14" ht="15.75" thickBot="1" x14ac:dyDescent="0.3"/>
    <row r="3" spans="2:14" ht="15.75" thickBot="1" x14ac:dyDescent="0.3">
      <c r="B3" s="265" t="s">
        <v>129</v>
      </c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7"/>
    </row>
  </sheetData>
  <mergeCells count="1">
    <mergeCell ref="B3:N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J39"/>
  <sheetViews>
    <sheetView topLeftCell="A19" zoomScaleNormal="100" workbookViewId="0">
      <selection activeCell="A33" sqref="A33"/>
    </sheetView>
  </sheetViews>
  <sheetFormatPr baseColWidth="10" defaultColWidth="11.42578125" defaultRowHeight="15" x14ac:dyDescent="0.25"/>
  <cols>
    <col min="1" max="1" width="11.5703125" customWidth="1"/>
    <col min="2" max="2" width="6.28515625" customWidth="1"/>
    <col min="3" max="3" width="31.7109375" customWidth="1"/>
    <col min="5" max="5" width="19" customWidth="1"/>
    <col min="6" max="6" width="17" customWidth="1"/>
    <col min="7" max="7" width="14.5703125" customWidth="1"/>
    <col min="8" max="8" width="6.42578125" customWidth="1"/>
    <col min="9" max="9" width="5.28515625" customWidth="1"/>
    <col min="10" max="10" width="30.42578125" customWidth="1"/>
    <col min="13" max="13" width="15.42578125" customWidth="1"/>
    <col min="14" max="14" width="16.7109375" customWidth="1"/>
    <col min="15" max="15" width="6" customWidth="1"/>
    <col min="17" max="17" width="29.85546875" customWidth="1"/>
    <col min="20" max="20" width="15.140625" customWidth="1"/>
    <col min="21" max="21" width="19.42578125" customWidth="1"/>
    <col min="22" max="22" width="5.5703125" customWidth="1"/>
    <col min="23" max="23" width="11.42578125" customWidth="1"/>
    <col min="24" max="24" width="29.85546875" customWidth="1"/>
    <col min="25" max="26" width="11.42578125" customWidth="1"/>
    <col min="27" max="27" width="15.140625" customWidth="1"/>
    <col min="28" max="28" width="19.5703125" customWidth="1"/>
    <col min="29" max="30" width="5.5703125" customWidth="1"/>
    <col min="36" max="36" width="22.140625" customWidth="1"/>
  </cols>
  <sheetData>
    <row r="2" spans="2:36" ht="10.5" customHeight="1" thickBot="1" x14ac:dyDescent="0.3"/>
    <row r="3" spans="2:36" ht="25.5" customHeight="1" thickBot="1" x14ac:dyDescent="0.3">
      <c r="B3" s="282" t="s">
        <v>130</v>
      </c>
      <c r="C3" s="283"/>
      <c r="D3" s="283"/>
      <c r="E3" s="283"/>
      <c r="F3" s="283"/>
      <c r="G3" s="284"/>
      <c r="I3" s="282" t="s">
        <v>131</v>
      </c>
      <c r="J3" s="283"/>
      <c r="K3" s="283"/>
      <c r="L3" s="283"/>
      <c r="M3" s="283"/>
      <c r="N3" s="284"/>
      <c r="P3" s="282" t="s">
        <v>132</v>
      </c>
      <c r="Q3" s="283"/>
      <c r="R3" s="283"/>
      <c r="S3" s="283"/>
      <c r="T3" s="283"/>
      <c r="U3" s="284"/>
      <c r="W3" s="282" t="s">
        <v>133</v>
      </c>
      <c r="X3" s="283"/>
      <c r="Y3" s="283"/>
      <c r="Z3" s="283"/>
      <c r="AA3" s="283"/>
      <c r="AB3" s="284"/>
      <c r="AE3" s="282" t="s">
        <v>134</v>
      </c>
      <c r="AF3" s="283"/>
      <c r="AG3" s="283"/>
      <c r="AH3" s="283"/>
      <c r="AI3" s="283"/>
      <c r="AJ3" s="284"/>
    </row>
    <row r="4" spans="2:36" ht="15.75" thickBot="1" x14ac:dyDescent="0.3">
      <c r="B4" s="19" t="s">
        <v>135</v>
      </c>
      <c r="C4" s="20" t="s">
        <v>136</v>
      </c>
      <c r="D4" s="21" t="s">
        <v>137</v>
      </c>
      <c r="E4" s="21" t="s">
        <v>138</v>
      </c>
      <c r="F4" s="21" t="s">
        <v>139</v>
      </c>
      <c r="G4" s="22" t="s">
        <v>140</v>
      </c>
      <c r="I4" s="19" t="s">
        <v>135</v>
      </c>
      <c r="J4" s="20" t="s">
        <v>136</v>
      </c>
      <c r="K4" s="21" t="s">
        <v>137</v>
      </c>
      <c r="L4" s="21" t="s">
        <v>138</v>
      </c>
      <c r="M4" s="21" t="s">
        <v>139</v>
      </c>
      <c r="N4" s="22" t="s">
        <v>140</v>
      </c>
      <c r="P4" s="19" t="s">
        <v>135</v>
      </c>
      <c r="Q4" s="20" t="s">
        <v>136</v>
      </c>
      <c r="R4" s="21" t="s">
        <v>137</v>
      </c>
      <c r="S4" s="21" t="s">
        <v>138</v>
      </c>
      <c r="T4" s="21" t="s">
        <v>139</v>
      </c>
      <c r="U4" s="22" t="s">
        <v>140</v>
      </c>
      <c r="W4" s="19" t="s">
        <v>135</v>
      </c>
      <c r="X4" s="20" t="s">
        <v>136</v>
      </c>
      <c r="Y4" s="21" t="s">
        <v>137</v>
      </c>
      <c r="Z4" s="21" t="s">
        <v>138</v>
      </c>
      <c r="AA4" s="21" t="s">
        <v>139</v>
      </c>
      <c r="AB4" s="22" t="s">
        <v>140</v>
      </c>
      <c r="AE4" s="285" t="s">
        <v>85</v>
      </c>
      <c r="AF4" s="286"/>
      <c r="AG4" s="286"/>
      <c r="AH4" s="286"/>
      <c r="AI4" s="287"/>
      <c r="AJ4" s="171">
        <f>(G25+N25+U25+AB25)/4</f>
        <v>14306402.083333334</v>
      </c>
    </row>
    <row r="5" spans="2:36" x14ac:dyDescent="0.25">
      <c r="B5" s="24">
        <v>1</v>
      </c>
      <c r="C5" s="25" t="s">
        <v>141</v>
      </c>
      <c r="D5" s="26" t="s">
        <v>142</v>
      </c>
      <c r="E5" s="27">
        <v>18</v>
      </c>
      <c r="F5" s="28">
        <v>196650</v>
      </c>
      <c r="G5" s="35">
        <f>F5*E5</f>
        <v>3539700</v>
      </c>
      <c r="I5" s="30">
        <v>1</v>
      </c>
      <c r="J5" s="25" t="s">
        <v>141</v>
      </c>
      <c r="K5" s="26" t="s">
        <v>142</v>
      </c>
      <c r="L5" s="27">
        <v>18</v>
      </c>
      <c r="M5" s="28">
        <v>418800</v>
      </c>
      <c r="N5" s="29">
        <f>M5*L5</f>
        <v>7538400</v>
      </c>
      <c r="P5" s="24">
        <v>1</v>
      </c>
      <c r="Q5" s="25" t="s">
        <v>141</v>
      </c>
      <c r="R5" s="26" t="s">
        <v>142</v>
      </c>
      <c r="S5" s="27">
        <v>18</v>
      </c>
      <c r="T5" s="28">
        <v>220000</v>
      </c>
      <c r="U5" s="35">
        <f>T5*S5</f>
        <v>3960000</v>
      </c>
      <c r="W5" s="24">
        <v>1</v>
      </c>
      <c r="X5" s="25" t="s">
        <v>141</v>
      </c>
      <c r="Y5" s="26" t="s">
        <v>142</v>
      </c>
      <c r="Z5" s="27">
        <v>18</v>
      </c>
      <c r="AA5" s="28">
        <f>(F5+M5+T5)/3</f>
        <v>278483.33333333331</v>
      </c>
      <c r="AB5" s="35">
        <f>AA5*Z5</f>
        <v>5012700</v>
      </c>
    </row>
    <row r="6" spans="2:36" x14ac:dyDescent="0.25">
      <c r="B6" s="30" t="s">
        <v>143</v>
      </c>
      <c r="C6" s="25" t="s">
        <v>144</v>
      </c>
      <c r="D6" s="26" t="s">
        <v>145</v>
      </c>
      <c r="E6" s="27">
        <v>3</v>
      </c>
      <c r="F6" s="28">
        <v>0</v>
      </c>
      <c r="G6" s="29">
        <f>F6*E6</f>
        <v>0</v>
      </c>
      <c r="I6" s="30" t="s">
        <v>143</v>
      </c>
      <c r="J6" s="25" t="s">
        <v>144</v>
      </c>
      <c r="K6" s="26" t="s">
        <v>145</v>
      </c>
      <c r="L6" s="27">
        <v>3</v>
      </c>
      <c r="M6" s="28">
        <v>395000</v>
      </c>
      <c r="N6" s="29">
        <f>M6*L6</f>
        <v>1185000</v>
      </c>
      <c r="P6" s="30" t="s">
        <v>143</v>
      </c>
      <c r="Q6" s="25" t="s">
        <v>144</v>
      </c>
      <c r="R6" s="26" t="s">
        <v>145</v>
      </c>
      <c r="S6" s="27">
        <v>3</v>
      </c>
      <c r="T6" s="28">
        <v>0</v>
      </c>
      <c r="U6" s="29">
        <f>T6*S6</f>
        <v>0</v>
      </c>
      <c r="W6" s="30" t="s">
        <v>143</v>
      </c>
      <c r="X6" s="25" t="s">
        <v>144</v>
      </c>
      <c r="Y6" s="26" t="s">
        <v>145</v>
      </c>
      <c r="Z6" s="27">
        <v>3</v>
      </c>
      <c r="AA6" s="28">
        <f>M6</f>
        <v>395000</v>
      </c>
      <c r="AB6" s="29">
        <f>AA6*Z6</f>
        <v>1185000</v>
      </c>
    </row>
    <row r="7" spans="2:36" ht="30.75" customHeight="1" x14ac:dyDescent="0.25">
      <c r="B7" s="30">
        <v>2</v>
      </c>
      <c r="C7" s="31" t="s">
        <v>146</v>
      </c>
      <c r="D7" s="32" t="s">
        <v>145</v>
      </c>
      <c r="E7" s="33">
        <v>9</v>
      </c>
      <c r="F7" s="34">
        <v>79000</v>
      </c>
      <c r="G7" s="35">
        <f t="shared" ref="G7" si="0">F7*E7</f>
        <v>711000</v>
      </c>
      <c r="I7" s="30">
        <v>2</v>
      </c>
      <c r="J7" s="31" t="s">
        <v>146</v>
      </c>
      <c r="K7" s="32" t="s">
        <v>145</v>
      </c>
      <c r="L7" s="33">
        <v>9</v>
      </c>
      <c r="M7" s="34">
        <v>79740</v>
      </c>
      <c r="N7" s="29">
        <f t="shared" ref="N7" si="1">M7*L7</f>
        <v>717660</v>
      </c>
      <c r="P7" s="30">
        <v>2</v>
      </c>
      <c r="Q7" s="31" t="s">
        <v>146</v>
      </c>
      <c r="R7" s="32" t="s">
        <v>145</v>
      </c>
      <c r="S7" s="33">
        <v>9</v>
      </c>
      <c r="T7" s="34">
        <v>85000</v>
      </c>
      <c r="U7" s="35">
        <f t="shared" ref="U7" si="2">T7*S7</f>
        <v>765000</v>
      </c>
      <c r="W7" s="30">
        <v>2</v>
      </c>
      <c r="X7" s="31" t="s">
        <v>146</v>
      </c>
      <c r="Y7" s="32" t="s">
        <v>145</v>
      </c>
      <c r="Z7" s="33">
        <v>9</v>
      </c>
      <c r="AA7" s="28">
        <f t="shared" ref="AA7:AA15" si="3">(F7+M7+T7)/3</f>
        <v>81246.666666666672</v>
      </c>
      <c r="AB7" s="35">
        <f t="shared" ref="AB7:AB23" si="4">AA7*Z7</f>
        <v>731220</v>
      </c>
    </row>
    <row r="8" spans="2:36" x14ac:dyDescent="0.25">
      <c r="B8" s="30">
        <v>6</v>
      </c>
      <c r="C8" s="31" t="s">
        <v>147</v>
      </c>
      <c r="D8" s="32" t="s">
        <v>145</v>
      </c>
      <c r="E8" s="33">
        <v>9</v>
      </c>
      <c r="F8" s="34">
        <v>11500</v>
      </c>
      <c r="G8" s="35">
        <f t="shared" ref="G8:G23" si="5">F8*E8</f>
        <v>103500</v>
      </c>
      <c r="I8" s="30">
        <v>6</v>
      </c>
      <c r="J8" s="31" t="s">
        <v>147</v>
      </c>
      <c r="K8" s="32" t="s">
        <v>145</v>
      </c>
      <c r="L8" s="33">
        <v>9</v>
      </c>
      <c r="M8" s="34">
        <v>13680</v>
      </c>
      <c r="N8" s="29">
        <f t="shared" ref="N8:N23" si="6">M8*L8</f>
        <v>123120</v>
      </c>
      <c r="P8" s="30">
        <v>6</v>
      </c>
      <c r="Q8" s="31" t="s">
        <v>147</v>
      </c>
      <c r="R8" s="32" t="s">
        <v>145</v>
      </c>
      <c r="S8" s="33">
        <v>9</v>
      </c>
      <c r="T8" s="34">
        <v>8500</v>
      </c>
      <c r="U8" s="35">
        <f t="shared" ref="U8:U23" si="7">T8*S8</f>
        <v>76500</v>
      </c>
      <c r="W8" s="30">
        <v>6</v>
      </c>
      <c r="X8" s="31" t="s">
        <v>147</v>
      </c>
      <c r="Y8" s="32" t="s">
        <v>145</v>
      </c>
      <c r="Z8" s="33">
        <v>9</v>
      </c>
      <c r="AA8" s="28">
        <f t="shared" si="3"/>
        <v>11226.666666666666</v>
      </c>
      <c r="AB8" s="35">
        <f t="shared" si="4"/>
        <v>101040</v>
      </c>
    </row>
    <row r="9" spans="2:36" x14ac:dyDescent="0.25">
      <c r="B9" s="30">
        <v>13</v>
      </c>
      <c r="C9" s="31" t="s">
        <v>148</v>
      </c>
      <c r="D9" s="32" t="s">
        <v>145</v>
      </c>
      <c r="E9" s="33">
        <v>9</v>
      </c>
      <c r="F9" s="34">
        <v>70150</v>
      </c>
      <c r="G9" s="35">
        <f t="shared" si="5"/>
        <v>631350</v>
      </c>
      <c r="I9" s="30">
        <v>13</v>
      </c>
      <c r="J9" s="31" t="s">
        <v>148</v>
      </c>
      <c r="K9" s="32" t="s">
        <v>145</v>
      </c>
      <c r="L9" s="33">
        <v>9</v>
      </c>
      <c r="M9" s="34">
        <v>60030</v>
      </c>
      <c r="N9" s="29">
        <f t="shared" si="6"/>
        <v>540270</v>
      </c>
      <c r="P9" s="30">
        <v>13</v>
      </c>
      <c r="Q9" s="31" t="s">
        <v>148</v>
      </c>
      <c r="R9" s="32" t="s">
        <v>145</v>
      </c>
      <c r="S9" s="33">
        <v>9</v>
      </c>
      <c r="T9" s="34">
        <v>48000</v>
      </c>
      <c r="U9" s="35">
        <f t="shared" si="7"/>
        <v>432000</v>
      </c>
      <c r="W9" s="30">
        <v>13</v>
      </c>
      <c r="X9" s="31" t="s">
        <v>148</v>
      </c>
      <c r="Y9" s="32" t="s">
        <v>145</v>
      </c>
      <c r="Z9" s="33">
        <v>9</v>
      </c>
      <c r="AA9" s="28">
        <f t="shared" si="3"/>
        <v>59393.333333333336</v>
      </c>
      <c r="AB9" s="35">
        <f t="shared" si="4"/>
        <v>534540</v>
      </c>
    </row>
    <row r="10" spans="2:36" x14ac:dyDescent="0.25">
      <c r="B10" s="30">
        <v>14</v>
      </c>
      <c r="C10" s="31" t="s">
        <v>149</v>
      </c>
      <c r="D10" s="32" t="s">
        <v>145</v>
      </c>
      <c r="E10" s="33">
        <v>3</v>
      </c>
      <c r="F10" s="34">
        <v>135000</v>
      </c>
      <c r="G10" s="35">
        <f t="shared" si="5"/>
        <v>405000</v>
      </c>
      <c r="I10" s="30">
        <v>14</v>
      </c>
      <c r="J10" s="31" t="s">
        <v>149</v>
      </c>
      <c r="K10" s="32" t="s">
        <v>145</v>
      </c>
      <c r="L10" s="33">
        <v>3</v>
      </c>
      <c r="M10" s="34">
        <v>60030</v>
      </c>
      <c r="N10" s="29">
        <f t="shared" si="6"/>
        <v>180090</v>
      </c>
      <c r="P10" s="30">
        <v>14</v>
      </c>
      <c r="Q10" s="31" t="s">
        <v>149</v>
      </c>
      <c r="R10" s="32" t="s">
        <v>145</v>
      </c>
      <c r="S10" s="33">
        <v>3</v>
      </c>
      <c r="T10" s="34">
        <v>66000</v>
      </c>
      <c r="U10" s="35">
        <f t="shared" si="7"/>
        <v>198000</v>
      </c>
      <c r="W10" s="30">
        <v>14</v>
      </c>
      <c r="X10" s="31" t="s">
        <v>149</v>
      </c>
      <c r="Y10" s="32" t="s">
        <v>145</v>
      </c>
      <c r="Z10" s="33">
        <v>3</v>
      </c>
      <c r="AA10" s="28">
        <f t="shared" si="3"/>
        <v>87010</v>
      </c>
      <c r="AB10" s="35">
        <f t="shared" si="4"/>
        <v>261030</v>
      </c>
    </row>
    <row r="11" spans="2:36" x14ac:dyDescent="0.25">
      <c r="B11" s="30">
        <v>15</v>
      </c>
      <c r="C11" s="31" t="s">
        <v>150</v>
      </c>
      <c r="D11" s="32" t="s">
        <v>145</v>
      </c>
      <c r="E11" s="33">
        <v>3</v>
      </c>
      <c r="F11" s="34">
        <v>294400</v>
      </c>
      <c r="G11" s="35">
        <f t="shared" si="5"/>
        <v>883200</v>
      </c>
      <c r="I11" s="30">
        <v>15</v>
      </c>
      <c r="J11" s="31" t="s">
        <v>150</v>
      </c>
      <c r="K11" s="32" t="s">
        <v>145</v>
      </c>
      <c r="L11" s="33">
        <v>3</v>
      </c>
      <c r="M11" s="34">
        <v>49050</v>
      </c>
      <c r="N11" s="29">
        <f t="shared" si="6"/>
        <v>147150</v>
      </c>
      <c r="P11" s="30">
        <v>15</v>
      </c>
      <c r="Q11" s="31" t="s">
        <v>150</v>
      </c>
      <c r="R11" s="32" t="s">
        <v>145</v>
      </c>
      <c r="S11" s="33">
        <v>3</v>
      </c>
      <c r="T11" s="34">
        <v>72000</v>
      </c>
      <c r="U11" s="35">
        <f t="shared" si="7"/>
        <v>216000</v>
      </c>
      <c r="W11" s="30">
        <v>15</v>
      </c>
      <c r="X11" s="31" t="s">
        <v>150</v>
      </c>
      <c r="Y11" s="32" t="s">
        <v>145</v>
      </c>
      <c r="Z11" s="33">
        <v>3</v>
      </c>
      <c r="AA11" s="28">
        <f t="shared" si="3"/>
        <v>138483.33333333334</v>
      </c>
      <c r="AB11" s="35">
        <f t="shared" si="4"/>
        <v>415450</v>
      </c>
    </row>
    <row r="12" spans="2:36" x14ac:dyDescent="0.25">
      <c r="B12" s="30">
        <v>16</v>
      </c>
      <c r="C12" s="31" t="s">
        <v>151</v>
      </c>
      <c r="D12" s="32" t="s">
        <v>145</v>
      </c>
      <c r="E12" s="33">
        <v>6</v>
      </c>
      <c r="F12" s="34">
        <v>1179900</v>
      </c>
      <c r="G12" s="35">
        <f t="shared" si="5"/>
        <v>7079400</v>
      </c>
      <c r="I12" s="30">
        <v>16</v>
      </c>
      <c r="J12" s="31" t="s">
        <v>151</v>
      </c>
      <c r="K12" s="32" t="s">
        <v>145</v>
      </c>
      <c r="L12" s="33">
        <v>6</v>
      </c>
      <c r="M12" s="34">
        <v>31410</v>
      </c>
      <c r="N12" s="29">
        <f t="shared" si="6"/>
        <v>188460</v>
      </c>
      <c r="P12" s="30">
        <v>16</v>
      </c>
      <c r="Q12" s="31" t="s">
        <v>151</v>
      </c>
      <c r="R12" s="32" t="s">
        <v>145</v>
      </c>
      <c r="S12" s="33">
        <v>6</v>
      </c>
      <c r="T12" s="34">
        <v>85000</v>
      </c>
      <c r="U12" s="35">
        <f t="shared" si="7"/>
        <v>510000</v>
      </c>
      <c r="W12" s="30">
        <v>16</v>
      </c>
      <c r="X12" s="31" t="s">
        <v>151</v>
      </c>
      <c r="Y12" s="32" t="s">
        <v>145</v>
      </c>
      <c r="Z12" s="33">
        <v>6</v>
      </c>
      <c r="AA12" s="28">
        <f>(M12+T12)/2</f>
        <v>58205</v>
      </c>
      <c r="AB12" s="35">
        <f t="shared" si="4"/>
        <v>349230</v>
      </c>
    </row>
    <row r="13" spans="2:36" x14ac:dyDescent="0.25">
      <c r="B13" s="30">
        <v>17</v>
      </c>
      <c r="C13" s="31" t="s">
        <v>152</v>
      </c>
      <c r="D13" s="32" t="s">
        <v>145</v>
      </c>
      <c r="E13" s="33">
        <v>2</v>
      </c>
      <c r="F13" s="34">
        <v>500000</v>
      </c>
      <c r="G13" s="35">
        <f t="shared" si="5"/>
        <v>1000000</v>
      </c>
      <c r="I13" s="30">
        <v>17</v>
      </c>
      <c r="J13" s="31" t="s">
        <v>152</v>
      </c>
      <c r="K13" s="32" t="s">
        <v>145</v>
      </c>
      <c r="L13" s="33">
        <v>2</v>
      </c>
      <c r="M13" s="34">
        <v>292320</v>
      </c>
      <c r="N13" s="29">
        <f t="shared" si="6"/>
        <v>584640</v>
      </c>
      <c r="P13" s="30">
        <v>17</v>
      </c>
      <c r="Q13" s="31" t="s">
        <v>152</v>
      </c>
      <c r="R13" s="32" t="s">
        <v>145</v>
      </c>
      <c r="S13" s="33">
        <v>2</v>
      </c>
      <c r="T13" s="34">
        <v>180000</v>
      </c>
      <c r="U13" s="35">
        <f t="shared" si="7"/>
        <v>360000</v>
      </c>
      <c r="W13" s="30">
        <v>17</v>
      </c>
      <c r="X13" s="31" t="s">
        <v>152</v>
      </c>
      <c r="Y13" s="32" t="s">
        <v>145</v>
      </c>
      <c r="Z13" s="33">
        <v>2</v>
      </c>
      <c r="AA13" s="28">
        <f t="shared" si="3"/>
        <v>324106.66666666669</v>
      </c>
      <c r="AB13" s="35">
        <f t="shared" si="4"/>
        <v>648213.33333333337</v>
      </c>
    </row>
    <row r="14" spans="2:36" x14ac:dyDescent="0.25">
      <c r="B14" s="30" t="s">
        <v>153</v>
      </c>
      <c r="C14" s="31" t="s">
        <v>154</v>
      </c>
      <c r="D14" s="32" t="s">
        <v>145</v>
      </c>
      <c r="E14" s="33">
        <v>6</v>
      </c>
      <c r="F14" s="34">
        <v>0</v>
      </c>
      <c r="G14" s="29">
        <f t="shared" si="5"/>
        <v>0</v>
      </c>
      <c r="I14" s="30" t="s">
        <v>153</v>
      </c>
      <c r="J14" s="31" t="s">
        <v>154</v>
      </c>
      <c r="K14" s="32" t="s">
        <v>145</v>
      </c>
      <c r="L14" s="33">
        <v>6</v>
      </c>
      <c r="M14" s="34">
        <v>62460</v>
      </c>
      <c r="N14" s="29">
        <f t="shared" si="6"/>
        <v>374760</v>
      </c>
      <c r="P14" s="30" t="s">
        <v>153</v>
      </c>
      <c r="Q14" s="31" t="s">
        <v>154</v>
      </c>
      <c r="R14" s="32" t="s">
        <v>145</v>
      </c>
      <c r="S14" s="33">
        <v>6</v>
      </c>
      <c r="T14" s="34">
        <v>0</v>
      </c>
      <c r="U14" s="29">
        <f t="shared" si="7"/>
        <v>0</v>
      </c>
      <c r="W14" s="30" t="s">
        <v>153</v>
      </c>
      <c r="X14" s="31" t="s">
        <v>154</v>
      </c>
      <c r="Y14" s="32" t="s">
        <v>145</v>
      </c>
      <c r="Z14" s="33">
        <v>6</v>
      </c>
      <c r="AA14" s="28">
        <f>M14</f>
        <v>62460</v>
      </c>
      <c r="AB14" s="29">
        <f t="shared" si="4"/>
        <v>374760</v>
      </c>
    </row>
    <row r="15" spans="2:36" x14ac:dyDescent="0.25">
      <c r="B15" s="30">
        <v>23</v>
      </c>
      <c r="C15" s="31" t="s">
        <v>155</v>
      </c>
      <c r="D15" s="32" t="s">
        <v>145</v>
      </c>
      <c r="E15" s="33">
        <v>6</v>
      </c>
      <c r="F15" s="34">
        <v>28500</v>
      </c>
      <c r="G15" s="35">
        <f t="shared" si="5"/>
        <v>171000</v>
      </c>
      <c r="I15" s="30">
        <v>23</v>
      </c>
      <c r="J15" s="31" t="s">
        <v>155</v>
      </c>
      <c r="K15" s="32" t="s">
        <v>145</v>
      </c>
      <c r="L15" s="33">
        <v>6</v>
      </c>
      <c r="M15" s="34">
        <v>41850</v>
      </c>
      <c r="N15" s="29">
        <f t="shared" si="6"/>
        <v>251100</v>
      </c>
      <c r="P15" s="30">
        <v>23</v>
      </c>
      <c r="Q15" s="31" t="s">
        <v>155</v>
      </c>
      <c r="R15" s="32" t="s">
        <v>145</v>
      </c>
      <c r="S15" s="33">
        <v>6</v>
      </c>
      <c r="T15" s="34">
        <v>24000</v>
      </c>
      <c r="U15" s="35">
        <f t="shared" si="7"/>
        <v>144000</v>
      </c>
      <c r="W15" s="30">
        <v>23</v>
      </c>
      <c r="X15" s="31" t="s">
        <v>155</v>
      </c>
      <c r="Y15" s="32" t="s">
        <v>145</v>
      </c>
      <c r="Z15" s="33">
        <v>6</v>
      </c>
      <c r="AA15" s="28">
        <f t="shared" si="3"/>
        <v>31450</v>
      </c>
      <c r="AB15" s="35">
        <f t="shared" si="4"/>
        <v>188700</v>
      </c>
    </row>
    <row r="16" spans="2:36" ht="25.5" x14ac:dyDescent="0.25">
      <c r="B16" s="30">
        <v>24</v>
      </c>
      <c r="C16" s="31" t="s">
        <v>156</v>
      </c>
      <c r="D16" s="32" t="s">
        <v>145</v>
      </c>
      <c r="E16" s="33">
        <v>5</v>
      </c>
      <c r="F16" s="34">
        <v>0</v>
      </c>
      <c r="G16" s="35">
        <f t="shared" si="5"/>
        <v>0</v>
      </c>
      <c r="I16" s="30">
        <v>24</v>
      </c>
      <c r="J16" s="31" t="s">
        <v>156</v>
      </c>
      <c r="K16" s="32" t="s">
        <v>145</v>
      </c>
      <c r="L16" s="33">
        <v>5</v>
      </c>
      <c r="M16" s="34">
        <v>226700</v>
      </c>
      <c r="N16" s="29">
        <f t="shared" si="6"/>
        <v>1133500</v>
      </c>
      <c r="P16" s="30">
        <v>24</v>
      </c>
      <c r="Q16" s="31" t="s">
        <v>156</v>
      </c>
      <c r="R16" s="32" t="s">
        <v>145</v>
      </c>
      <c r="S16" s="33">
        <v>5</v>
      </c>
      <c r="T16" s="34">
        <v>480000</v>
      </c>
      <c r="U16" s="35">
        <f t="shared" si="7"/>
        <v>2400000</v>
      </c>
      <c r="W16" s="30">
        <v>24</v>
      </c>
      <c r="X16" s="31" t="s">
        <v>156</v>
      </c>
      <c r="Y16" s="32" t="s">
        <v>145</v>
      </c>
      <c r="Z16" s="33">
        <v>5</v>
      </c>
      <c r="AA16" s="28">
        <f>(M16+T16)/2</f>
        <v>353350</v>
      </c>
      <c r="AB16" s="35">
        <f t="shared" si="4"/>
        <v>1766750</v>
      </c>
    </row>
    <row r="17" spans="2:28" ht="25.5" x14ac:dyDescent="0.25">
      <c r="B17" s="30" t="s">
        <v>157</v>
      </c>
      <c r="C17" s="31" t="s">
        <v>158</v>
      </c>
      <c r="D17" s="32" t="s">
        <v>145</v>
      </c>
      <c r="E17" s="33">
        <v>5</v>
      </c>
      <c r="F17" s="34">
        <v>0</v>
      </c>
      <c r="G17" s="29">
        <f t="shared" si="5"/>
        <v>0</v>
      </c>
      <c r="I17" s="30" t="s">
        <v>157</v>
      </c>
      <c r="J17" s="31" t="s">
        <v>158</v>
      </c>
      <c r="K17" s="32" t="s">
        <v>145</v>
      </c>
      <c r="L17" s="33">
        <v>5</v>
      </c>
      <c r="M17" s="34">
        <v>195000</v>
      </c>
      <c r="N17" s="29">
        <f t="shared" si="6"/>
        <v>975000</v>
      </c>
      <c r="P17" s="30" t="s">
        <v>157</v>
      </c>
      <c r="Q17" s="31" t="s">
        <v>158</v>
      </c>
      <c r="R17" s="32" t="s">
        <v>145</v>
      </c>
      <c r="S17" s="33">
        <v>5</v>
      </c>
      <c r="T17" s="34">
        <v>0</v>
      </c>
      <c r="U17" s="29">
        <f t="shared" si="7"/>
        <v>0</v>
      </c>
      <c r="W17" s="30" t="s">
        <v>157</v>
      </c>
      <c r="X17" s="31" t="s">
        <v>158</v>
      </c>
      <c r="Y17" s="32" t="s">
        <v>145</v>
      </c>
      <c r="Z17" s="33">
        <v>5</v>
      </c>
      <c r="AA17" s="28">
        <f>M17</f>
        <v>195000</v>
      </c>
      <c r="AB17" s="29">
        <f t="shared" si="4"/>
        <v>975000</v>
      </c>
    </row>
    <row r="18" spans="2:28" ht="25.5" x14ac:dyDescent="0.25">
      <c r="B18" s="30" t="s">
        <v>159</v>
      </c>
      <c r="C18" s="31" t="s">
        <v>160</v>
      </c>
      <c r="D18" s="32" t="s">
        <v>145</v>
      </c>
      <c r="E18" s="33">
        <v>5</v>
      </c>
      <c r="F18" s="34">
        <v>0</v>
      </c>
      <c r="G18" s="29">
        <f t="shared" si="5"/>
        <v>0</v>
      </c>
      <c r="I18" s="30" t="s">
        <v>159</v>
      </c>
      <c r="J18" s="31" t="s">
        <v>160</v>
      </c>
      <c r="K18" s="32" t="s">
        <v>145</v>
      </c>
      <c r="L18" s="33">
        <v>5</v>
      </c>
      <c r="M18" s="34">
        <v>269500</v>
      </c>
      <c r="N18" s="29">
        <f t="shared" si="6"/>
        <v>1347500</v>
      </c>
      <c r="P18" s="30" t="s">
        <v>159</v>
      </c>
      <c r="Q18" s="31" t="s">
        <v>160</v>
      </c>
      <c r="R18" s="32" t="s">
        <v>145</v>
      </c>
      <c r="S18" s="33">
        <v>5</v>
      </c>
      <c r="T18" s="34">
        <v>0</v>
      </c>
      <c r="U18" s="29">
        <f t="shared" si="7"/>
        <v>0</v>
      </c>
      <c r="W18" s="30" t="s">
        <v>159</v>
      </c>
      <c r="X18" s="31" t="s">
        <v>160</v>
      </c>
      <c r="Y18" s="32" t="s">
        <v>145</v>
      </c>
      <c r="Z18" s="33">
        <v>5</v>
      </c>
      <c r="AA18" s="28">
        <f t="shared" ref="AA18:AA21" si="8">M18</f>
        <v>269500</v>
      </c>
      <c r="AB18" s="29">
        <f t="shared" si="4"/>
        <v>1347500</v>
      </c>
    </row>
    <row r="19" spans="2:28" ht="25.5" x14ac:dyDescent="0.25">
      <c r="B19" s="30" t="s">
        <v>161</v>
      </c>
      <c r="C19" s="31" t="s">
        <v>162</v>
      </c>
      <c r="D19" s="32" t="s">
        <v>145</v>
      </c>
      <c r="E19" s="33">
        <v>5</v>
      </c>
      <c r="F19" s="34">
        <v>0</v>
      </c>
      <c r="G19" s="29">
        <f t="shared" si="5"/>
        <v>0</v>
      </c>
      <c r="I19" s="30" t="s">
        <v>161</v>
      </c>
      <c r="J19" s="31" t="s">
        <v>162</v>
      </c>
      <c r="K19" s="32" t="s">
        <v>145</v>
      </c>
      <c r="L19" s="33">
        <v>5</v>
      </c>
      <c r="M19" s="34">
        <v>123200</v>
      </c>
      <c r="N19" s="29">
        <f t="shared" si="6"/>
        <v>616000</v>
      </c>
      <c r="P19" s="30" t="s">
        <v>161</v>
      </c>
      <c r="Q19" s="31" t="s">
        <v>162</v>
      </c>
      <c r="R19" s="32" t="s">
        <v>145</v>
      </c>
      <c r="S19" s="33">
        <v>5</v>
      </c>
      <c r="T19" s="34">
        <v>0</v>
      </c>
      <c r="U19" s="29">
        <f t="shared" si="7"/>
        <v>0</v>
      </c>
      <c r="W19" s="30" t="s">
        <v>161</v>
      </c>
      <c r="X19" s="31" t="s">
        <v>162</v>
      </c>
      <c r="Y19" s="32" t="s">
        <v>145</v>
      </c>
      <c r="Z19" s="33">
        <v>5</v>
      </c>
      <c r="AA19" s="28">
        <f t="shared" si="8"/>
        <v>123200</v>
      </c>
      <c r="AB19" s="29">
        <f t="shared" si="4"/>
        <v>616000</v>
      </c>
    </row>
    <row r="20" spans="2:28" x14ac:dyDescent="0.25">
      <c r="B20" s="30" t="s">
        <v>163</v>
      </c>
      <c r="C20" s="31" t="s">
        <v>164</v>
      </c>
      <c r="D20" s="32" t="s">
        <v>145</v>
      </c>
      <c r="E20" s="33">
        <v>5</v>
      </c>
      <c r="F20" s="34">
        <v>0</v>
      </c>
      <c r="G20" s="29">
        <f t="shared" si="5"/>
        <v>0</v>
      </c>
      <c r="I20" s="30" t="s">
        <v>163</v>
      </c>
      <c r="J20" s="31" t="s">
        <v>164</v>
      </c>
      <c r="K20" s="32" t="s">
        <v>145</v>
      </c>
      <c r="L20" s="33">
        <v>5</v>
      </c>
      <c r="M20" s="34">
        <v>82500</v>
      </c>
      <c r="N20" s="29">
        <f t="shared" si="6"/>
        <v>412500</v>
      </c>
      <c r="P20" s="30" t="s">
        <v>163</v>
      </c>
      <c r="Q20" s="31" t="s">
        <v>164</v>
      </c>
      <c r="R20" s="32" t="s">
        <v>145</v>
      </c>
      <c r="S20" s="33">
        <v>5</v>
      </c>
      <c r="T20" s="34">
        <v>0</v>
      </c>
      <c r="U20" s="29">
        <f t="shared" si="7"/>
        <v>0</v>
      </c>
      <c r="W20" s="30" t="s">
        <v>163</v>
      </c>
      <c r="X20" s="31" t="s">
        <v>164</v>
      </c>
      <c r="Y20" s="32" t="s">
        <v>145</v>
      </c>
      <c r="Z20" s="33">
        <v>5</v>
      </c>
      <c r="AA20" s="28">
        <f t="shared" si="8"/>
        <v>82500</v>
      </c>
      <c r="AB20" s="29">
        <f t="shared" si="4"/>
        <v>412500</v>
      </c>
    </row>
    <row r="21" spans="2:28" x14ac:dyDescent="0.25">
      <c r="B21" s="30" t="s">
        <v>165</v>
      </c>
      <c r="C21" s="31" t="s">
        <v>166</v>
      </c>
      <c r="D21" s="32" t="s">
        <v>145</v>
      </c>
      <c r="E21" s="33">
        <v>5</v>
      </c>
      <c r="F21" s="34">
        <v>0</v>
      </c>
      <c r="G21" s="29">
        <f t="shared" si="5"/>
        <v>0</v>
      </c>
      <c r="I21" s="30" t="s">
        <v>165</v>
      </c>
      <c r="J21" s="31" t="s">
        <v>166</v>
      </c>
      <c r="K21" s="32" t="s">
        <v>145</v>
      </c>
      <c r="L21" s="33">
        <v>5</v>
      </c>
      <c r="M21" s="34">
        <v>174900</v>
      </c>
      <c r="N21" s="29">
        <f t="shared" si="6"/>
        <v>874500</v>
      </c>
      <c r="P21" s="30" t="s">
        <v>165</v>
      </c>
      <c r="Q21" s="31" t="s">
        <v>166</v>
      </c>
      <c r="R21" s="32" t="s">
        <v>145</v>
      </c>
      <c r="S21" s="33">
        <v>5</v>
      </c>
      <c r="T21" s="34">
        <v>0</v>
      </c>
      <c r="U21" s="29">
        <f t="shared" si="7"/>
        <v>0</v>
      </c>
      <c r="W21" s="30" t="s">
        <v>165</v>
      </c>
      <c r="X21" s="31" t="s">
        <v>166</v>
      </c>
      <c r="Y21" s="32" t="s">
        <v>145</v>
      </c>
      <c r="Z21" s="33">
        <v>5</v>
      </c>
      <c r="AA21" s="28">
        <f t="shared" si="8"/>
        <v>174900</v>
      </c>
      <c r="AB21" s="29">
        <f t="shared" si="4"/>
        <v>874500</v>
      </c>
    </row>
    <row r="22" spans="2:28" ht="27" customHeight="1" x14ac:dyDescent="0.25">
      <c r="B22" s="30">
        <v>25</v>
      </c>
      <c r="C22" s="31" t="s">
        <v>167</v>
      </c>
      <c r="D22" s="32" t="s">
        <v>145</v>
      </c>
      <c r="E22" s="33">
        <v>5</v>
      </c>
      <c r="F22" s="34">
        <v>0</v>
      </c>
      <c r="G22" s="35">
        <f t="shared" si="5"/>
        <v>0</v>
      </c>
      <c r="I22" s="30">
        <v>25</v>
      </c>
      <c r="J22" s="31" t="s">
        <v>167</v>
      </c>
      <c r="K22" s="32" t="s">
        <v>145</v>
      </c>
      <c r="L22" s="33">
        <v>5</v>
      </c>
      <c r="M22" s="34">
        <v>41850</v>
      </c>
      <c r="N22" s="29">
        <f t="shared" si="6"/>
        <v>209250</v>
      </c>
      <c r="P22" s="30">
        <v>25</v>
      </c>
      <c r="Q22" s="31" t="s">
        <v>167</v>
      </c>
      <c r="R22" s="32" t="s">
        <v>145</v>
      </c>
      <c r="S22" s="33">
        <v>5</v>
      </c>
      <c r="T22" s="34">
        <v>8500</v>
      </c>
      <c r="U22" s="35">
        <f t="shared" si="7"/>
        <v>42500</v>
      </c>
      <c r="W22" s="30">
        <v>25</v>
      </c>
      <c r="X22" s="31" t="s">
        <v>167</v>
      </c>
      <c r="Y22" s="32" t="s">
        <v>145</v>
      </c>
      <c r="Z22" s="33">
        <v>5</v>
      </c>
      <c r="AA22" s="28">
        <f>(M22+T22)/2</f>
        <v>25175</v>
      </c>
      <c r="AB22" s="35">
        <f t="shared" si="4"/>
        <v>125875</v>
      </c>
    </row>
    <row r="23" spans="2:28" ht="30.75" customHeight="1" x14ac:dyDescent="0.25">
      <c r="B23" s="30">
        <v>26</v>
      </c>
      <c r="C23" s="31" t="s">
        <v>168</v>
      </c>
      <c r="D23" s="32" t="s">
        <v>145</v>
      </c>
      <c r="E23" s="33">
        <v>5</v>
      </c>
      <c r="F23" s="34">
        <v>0</v>
      </c>
      <c r="G23" s="37">
        <f t="shared" si="5"/>
        <v>0</v>
      </c>
      <c r="I23" s="30">
        <v>26</v>
      </c>
      <c r="J23" s="31" t="s">
        <v>168</v>
      </c>
      <c r="K23" s="32" t="s">
        <v>145</v>
      </c>
      <c r="L23" s="33">
        <v>5</v>
      </c>
      <c r="M23" s="34">
        <v>13140</v>
      </c>
      <c r="N23" s="40">
        <f t="shared" si="6"/>
        <v>65700</v>
      </c>
      <c r="P23" s="30">
        <v>26</v>
      </c>
      <c r="Q23" s="31" t="s">
        <v>168</v>
      </c>
      <c r="R23" s="32" t="s">
        <v>145</v>
      </c>
      <c r="S23" s="33">
        <v>5</v>
      </c>
      <c r="T23" s="34">
        <v>24000</v>
      </c>
      <c r="U23" s="37">
        <f t="shared" si="7"/>
        <v>120000</v>
      </c>
      <c r="W23" s="30">
        <v>26</v>
      </c>
      <c r="X23" s="31" t="s">
        <v>168</v>
      </c>
      <c r="Y23" s="32" t="s">
        <v>145</v>
      </c>
      <c r="Z23" s="33">
        <v>5</v>
      </c>
      <c r="AA23" s="28">
        <f>(M23+T23)/2</f>
        <v>18570</v>
      </c>
      <c r="AB23" s="37">
        <f t="shared" si="4"/>
        <v>92850</v>
      </c>
    </row>
    <row r="24" spans="2:28" ht="15.75" thickBot="1" x14ac:dyDescent="0.3">
      <c r="C24" s="272" t="s">
        <v>85</v>
      </c>
      <c r="D24" s="273"/>
      <c r="E24" s="273"/>
      <c r="F24" s="274"/>
      <c r="G24" s="23">
        <f>SUM(G5:G23)</f>
        <v>14524150</v>
      </c>
      <c r="J24" s="272" t="s">
        <v>85</v>
      </c>
      <c r="K24" s="273"/>
      <c r="L24" s="273"/>
      <c r="M24" s="274"/>
      <c r="N24" s="23">
        <f>SUM(N5:N23)</f>
        <v>17464600</v>
      </c>
      <c r="Q24" s="272" t="s">
        <v>85</v>
      </c>
      <c r="R24" s="273"/>
      <c r="S24" s="273"/>
      <c r="T24" s="274"/>
      <c r="U24" s="23">
        <f>SUM(U5:U23)</f>
        <v>9224000</v>
      </c>
      <c r="X24" s="272" t="s">
        <v>85</v>
      </c>
      <c r="Y24" s="273"/>
      <c r="Z24" s="273"/>
      <c r="AA24" s="274"/>
      <c r="AB24" s="23">
        <f>SUM(AB5:AB23)</f>
        <v>16012858.333333334</v>
      </c>
    </row>
    <row r="25" spans="2:28" ht="15.75" thickBot="1" x14ac:dyDescent="0.3">
      <c r="C25" s="262" t="s">
        <v>169</v>
      </c>
      <c r="D25" s="263"/>
      <c r="E25" s="263"/>
      <c r="F25" s="264"/>
      <c r="G25" s="36">
        <f>G24</f>
        <v>14524150</v>
      </c>
      <c r="J25" s="262" t="s">
        <v>169</v>
      </c>
      <c r="K25" s="263"/>
      <c r="L25" s="263"/>
      <c r="M25" s="264"/>
      <c r="N25" s="36">
        <f>N24</f>
        <v>17464600</v>
      </c>
      <c r="Q25" s="262" t="s">
        <v>169</v>
      </c>
      <c r="R25" s="263"/>
      <c r="S25" s="263"/>
      <c r="T25" s="264"/>
      <c r="U25" s="36">
        <f>U24</f>
        <v>9224000</v>
      </c>
      <c r="X25" s="262" t="s">
        <v>169</v>
      </c>
      <c r="Y25" s="263"/>
      <c r="Z25" s="263"/>
      <c r="AA25" s="264"/>
      <c r="AB25" s="36">
        <f>AB24</f>
        <v>16012858.333333334</v>
      </c>
    </row>
    <row r="31" spans="2:28" x14ac:dyDescent="0.25">
      <c r="C31" s="41" t="s">
        <v>170</v>
      </c>
      <c r="D31" s="275" t="s">
        <v>171</v>
      </c>
      <c r="E31" s="275"/>
      <c r="F31" s="275"/>
      <c r="G31" s="275"/>
    </row>
    <row r="33" spans="3:10" x14ac:dyDescent="0.25">
      <c r="C33" s="41" t="s">
        <v>172</v>
      </c>
      <c r="D33" s="276">
        <f>MEDIAN(G25,N25,U25,AB25,AJ4)</f>
        <v>14524150</v>
      </c>
      <c r="E33" s="277"/>
      <c r="F33" s="277"/>
      <c r="G33" s="277"/>
      <c r="J33" t="s">
        <v>173</v>
      </c>
    </row>
    <row r="34" spans="3:10" ht="15.75" thickBot="1" x14ac:dyDescent="0.3"/>
    <row r="35" spans="3:10" x14ac:dyDescent="0.25">
      <c r="C35" s="42" t="s">
        <v>174</v>
      </c>
      <c r="D35" s="278">
        <f>G25</f>
        <v>14524150</v>
      </c>
      <c r="E35" s="279"/>
      <c r="F35" s="43">
        <f>D33</f>
        <v>14524150</v>
      </c>
      <c r="G35" s="44">
        <f>F35-D35</f>
        <v>0</v>
      </c>
    </row>
    <row r="36" spans="3:10" x14ac:dyDescent="0.25">
      <c r="C36" s="45" t="s">
        <v>175</v>
      </c>
      <c r="D36" s="268">
        <f>N25</f>
        <v>17464600</v>
      </c>
      <c r="E36" s="269"/>
      <c r="F36" s="46">
        <f>D33</f>
        <v>14524150</v>
      </c>
      <c r="G36" s="47">
        <f t="shared" ref="G36:G39" si="9">F36-D36</f>
        <v>-2940450</v>
      </c>
    </row>
    <row r="37" spans="3:10" x14ac:dyDescent="0.25">
      <c r="C37" s="45" t="s">
        <v>176</v>
      </c>
      <c r="D37" s="268">
        <f>U25</f>
        <v>9224000</v>
      </c>
      <c r="E37" s="269"/>
      <c r="F37" s="46">
        <f>D33</f>
        <v>14524150</v>
      </c>
      <c r="G37" s="47">
        <f t="shared" si="9"/>
        <v>5300150</v>
      </c>
    </row>
    <row r="38" spans="3:10" x14ac:dyDescent="0.25">
      <c r="C38" s="76" t="s">
        <v>177</v>
      </c>
      <c r="D38" s="280">
        <f>AB25</f>
        <v>16012858.333333334</v>
      </c>
      <c r="E38" s="281"/>
      <c r="F38" s="77">
        <f>D33</f>
        <v>14524150</v>
      </c>
      <c r="G38" s="47">
        <f t="shared" si="9"/>
        <v>-1488708.333333334</v>
      </c>
    </row>
    <row r="39" spans="3:10" ht="15.75" thickBot="1" x14ac:dyDescent="0.3">
      <c r="C39" s="78" t="s">
        <v>178</v>
      </c>
      <c r="D39" s="270">
        <f>AJ4</f>
        <v>14306402.083333334</v>
      </c>
      <c r="E39" s="271"/>
      <c r="F39" s="79">
        <f>D33</f>
        <v>14524150</v>
      </c>
      <c r="G39" s="80">
        <f t="shared" si="9"/>
        <v>217747.91666666605</v>
      </c>
    </row>
  </sheetData>
  <mergeCells count="21">
    <mergeCell ref="W3:AB3"/>
    <mergeCell ref="X24:AA24"/>
    <mergeCell ref="X25:AA25"/>
    <mergeCell ref="AE3:AJ3"/>
    <mergeCell ref="AE4:AI4"/>
    <mergeCell ref="Q25:T25"/>
    <mergeCell ref="B3:G3"/>
    <mergeCell ref="I3:N3"/>
    <mergeCell ref="P3:U3"/>
    <mergeCell ref="C24:F24"/>
    <mergeCell ref="Q24:T24"/>
    <mergeCell ref="D36:E36"/>
    <mergeCell ref="D37:E37"/>
    <mergeCell ref="D39:E39"/>
    <mergeCell ref="J24:M24"/>
    <mergeCell ref="J25:M25"/>
    <mergeCell ref="D31:G31"/>
    <mergeCell ref="D33:G33"/>
    <mergeCell ref="D35:E35"/>
    <mergeCell ref="D38:E38"/>
    <mergeCell ref="C25:F25"/>
  </mergeCells>
  <pageMargins left="0.7" right="0.7" top="0.75" bottom="0.75" header="0.3" footer="0.3"/>
  <ignoredErrors>
    <ignoredError sqref="AA16 AA6 AA12 AA14" formula="1"/>
    <ignoredError sqref="D37:E38 G39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6"/>
  <sheetViews>
    <sheetView topLeftCell="A6" zoomScale="115" zoomScaleNormal="115" workbookViewId="0">
      <selection activeCell="W19" sqref="W19"/>
    </sheetView>
  </sheetViews>
  <sheetFormatPr baseColWidth="10" defaultColWidth="11.42578125" defaultRowHeight="14.25" x14ac:dyDescent="0.25"/>
  <cols>
    <col min="1" max="1" width="26.28515625" style="149" customWidth="1"/>
    <col min="2" max="9" width="7.7109375" style="149" hidden="1" customWidth="1"/>
    <col min="10" max="18" width="7.7109375" style="149" customWidth="1"/>
    <col min="19" max="19" width="8" style="149" customWidth="1"/>
    <col min="20" max="21" width="11.42578125" style="149"/>
    <col min="22" max="22" width="8.42578125" style="149" customWidth="1"/>
    <col min="23" max="16384" width="11.42578125" style="149"/>
  </cols>
  <sheetData>
    <row r="1" spans="1:23" s="111" customFormat="1" ht="60" customHeight="1" x14ac:dyDescent="0.2">
      <c r="A1" s="288"/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</row>
    <row r="2" spans="1:23" s="111" customFormat="1" ht="12" x14ac:dyDescent="0.2"/>
    <row r="3" spans="1:23" s="111" customFormat="1" ht="14.1" customHeight="1" x14ac:dyDescent="0.2">
      <c r="A3" s="289" t="s">
        <v>179</v>
      </c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  <c r="R3" s="289"/>
      <c r="S3" s="289"/>
      <c r="T3" s="289"/>
      <c r="U3" s="289"/>
      <c r="V3" s="289"/>
    </row>
    <row r="4" spans="1:23" s="111" customFormat="1" ht="17.100000000000001" customHeight="1" x14ac:dyDescent="0.2">
      <c r="A4" s="289"/>
      <c r="B4" s="289"/>
      <c r="C4" s="289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89"/>
      <c r="T4" s="289"/>
      <c r="U4" s="289"/>
      <c r="V4" s="289"/>
    </row>
    <row r="5" spans="1:23" s="111" customFormat="1" ht="36" customHeight="1" x14ac:dyDescent="0.2">
      <c r="A5" s="290" t="s">
        <v>180</v>
      </c>
      <c r="B5" s="291"/>
      <c r="C5" s="291"/>
      <c r="D5" s="291"/>
      <c r="E5" s="291"/>
      <c r="F5" s="291"/>
      <c r="G5" s="291"/>
      <c r="H5" s="291"/>
      <c r="I5" s="291"/>
      <c r="J5" s="291"/>
      <c r="K5" s="291"/>
      <c r="L5" s="291"/>
      <c r="M5" s="291"/>
      <c r="N5" s="291"/>
      <c r="O5" s="291"/>
      <c r="P5" s="291"/>
      <c r="Q5" s="291"/>
      <c r="R5" s="291"/>
      <c r="S5" s="291"/>
      <c r="T5" s="291"/>
      <c r="U5" s="291"/>
      <c r="V5" s="291"/>
    </row>
    <row r="6" spans="1:23" s="111" customFormat="1" ht="12" x14ac:dyDescent="0.2"/>
    <row r="7" spans="1:23" s="111" customFormat="1" ht="12.75" customHeight="1" x14ac:dyDescent="0.2">
      <c r="A7" s="112"/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4"/>
      <c r="T7" s="113"/>
      <c r="U7" s="113"/>
      <c r="V7" s="113"/>
    </row>
    <row r="8" spans="1:23" s="111" customFormat="1" ht="12.75" customHeight="1" x14ac:dyDescent="0.2">
      <c r="A8" s="115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7"/>
      <c r="U8" s="118"/>
      <c r="V8" s="119" t="s">
        <v>181</v>
      </c>
    </row>
    <row r="9" spans="1:23" s="111" customFormat="1" ht="12" x14ac:dyDescent="0.2">
      <c r="A9" s="120" t="s">
        <v>182</v>
      </c>
      <c r="B9" s="120">
        <v>2003</v>
      </c>
      <c r="C9" s="121">
        <v>2004</v>
      </c>
      <c r="D9" s="121">
        <v>2005</v>
      </c>
      <c r="E9" s="121">
        <v>2006</v>
      </c>
      <c r="F9" s="121">
        <v>2007</v>
      </c>
      <c r="G9" s="121">
        <v>2008</v>
      </c>
      <c r="H9" s="121">
        <v>2009</v>
      </c>
      <c r="I9" s="121">
        <v>2010</v>
      </c>
      <c r="J9" s="121">
        <v>2011</v>
      </c>
      <c r="K9" s="121">
        <v>2012</v>
      </c>
      <c r="L9" s="121">
        <v>2013</v>
      </c>
      <c r="M9" s="121">
        <v>2014</v>
      </c>
      <c r="N9" s="121">
        <v>2015</v>
      </c>
      <c r="O9" s="121">
        <v>2016</v>
      </c>
      <c r="P9" s="121">
        <v>2017</v>
      </c>
      <c r="Q9" s="121">
        <v>2018</v>
      </c>
      <c r="R9" s="121">
        <v>2019</v>
      </c>
      <c r="S9" s="122">
        <v>2020</v>
      </c>
      <c r="T9" s="122">
        <v>2021</v>
      </c>
      <c r="U9" s="122">
        <v>2022</v>
      </c>
      <c r="V9" s="123">
        <v>2023</v>
      </c>
    </row>
    <row r="10" spans="1:23" s="111" customFormat="1" ht="12" x14ac:dyDescent="0.2">
      <c r="A10" s="124" t="s">
        <v>183</v>
      </c>
      <c r="B10" s="125">
        <v>50.42</v>
      </c>
      <c r="C10" s="125">
        <v>53.54</v>
      </c>
      <c r="D10" s="125">
        <v>56.45</v>
      </c>
      <c r="E10" s="125">
        <v>59.02</v>
      </c>
      <c r="F10" s="125">
        <v>61.8</v>
      </c>
      <c r="G10" s="125">
        <v>65.510000000000005</v>
      </c>
      <c r="H10" s="125">
        <v>70.209999999999994</v>
      </c>
      <c r="I10" s="125">
        <v>71.69</v>
      </c>
      <c r="J10" s="125">
        <v>74.12</v>
      </c>
      <c r="K10" s="125">
        <v>76.75</v>
      </c>
      <c r="L10" s="125">
        <v>78.28</v>
      </c>
      <c r="M10" s="125">
        <v>79.95</v>
      </c>
      <c r="N10" s="125">
        <v>83</v>
      </c>
      <c r="O10" s="125">
        <v>89.19</v>
      </c>
      <c r="P10" s="125">
        <v>94.07</v>
      </c>
      <c r="Q10" s="125">
        <v>97.53</v>
      </c>
      <c r="R10" s="126">
        <v>100.6</v>
      </c>
      <c r="S10" s="126">
        <v>104.24</v>
      </c>
      <c r="T10" s="126">
        <v>105.91</v>
      </c>
      <c r="U10" s="126">
        <v>113.26</v>
      </c>
      <c r="V10" s="127">
        <v>128.27000000000001</v>
      </c>
    </row>
    <row r="11" spans="1:23" s="111" customFormat="1" ht="12" x14ac:dyDescent="0.2">
      <c r="A11" s="128" t="s">
        <v>184</v>
      </c>
      <c r="B11" s="129">
        <v>50.98</v>
      </c>
      <c r="C11" s="129">
        <v>54.18</v>
      </c>
      <c r="D11" s="129">
        <v>57.02</v>
      </c>
      <c r="E11" s="129">
        <v>59.41</v>
      </c>
      <c r="F11" s="129">
        <v>62.53</v>
      </c>
      <c r="G11" s="129">
        <v>66.5</v>
      </c>
      <c r="H11" s="129">
        <v>70.8</v>
      </c>
      <c r="I11" s="129">
        <v>72.28</v>
      </c>
      <c r="J11" s="129">
        <v>74.569999999999993</v>
      </c>
      <c r="K11" s="129">
        <v>77.22</v>
      </c>
      <c r="L11" s="129">
        <v>78.63</v>
      </c>
      <c r="M11" s="129">
        <v>80.45</v>
      </c>
      <c r="N11" s="129">
        <v>83.96</v>
      </c>
      <c r="O11" s="129">
        <v>90.33</v>
      </c>
      <c r="P11" s="129">
        <v>95.01</v>
      </c>
      <c r="Q11" s="129">
        <v>98.22</v>
      </c>
      <c r="R11" s="129">
        <v>101.18</v>
      </c>
      <c r="S11" s="129">
        <v>104.94</v>
      </c>
      <c r="T11" s="129">
        <v>106.58</v>
      </c>
      <c r="U11" s="129">
        <v>115.11</v>
      </c>
      <c r="V11" s="130">
        <v>130.4</v>
      </c>
    </row>
    <row r="12" spans="1:23" s="111" customFormat="1" ht="12" x14ac:dyDescent="0.2">
      <c r="A12" s="124" t="s">
        <v>185</v>
      </c>
      <c r="B12" s="125">
        <v>51.51</v>
      </c>
      <c r="C12" s="125">
        <v>54.71</v>
      </c>
      <c r="D12" s="125">
        <v>57.46</v>
      </c>
      <c r="E12" s="125">
        <v>59.83</v>
      </c>
      <c r="F12" s="125">
        <v>63.29</v>
      </c>
      <c r="G12" s="125">
        <v>67.040000000000006</v>
      </c>
      <c r="H12" s="125">
        <v>71.150000000000006</v>
      </c>
      <c r="I12" s="125">
        <v>72.459999999999994</v>
      </c>
      <c r="J12" s="125">
        <v>74.77</v>
      </c>
      <c r="K12" s="125">
        <v>77.31</v>
      </c>
      <c r="L12" s="125">
        <v>78.790000000000006</v>
      </c>
      <c r="M12" s="125">
        <v>80.77</v>
      </c>
      <c r="N12" s="125">
        <v>84.45</v>
      </c>
      <c r="O12" s="125">
        <v>91.18</v>
      </c>
      <c r="P12" s="125">
        <v>95.46</v>
      </c>
      <c r="Q12" s="125">
        <v>98.45</v>
      </c>
      <c r="R12" s="125">
        <v>101.62</v>
      </c>
      <c r="S12" s="125">
        <v>105.53</v>
      </c>
      <c r="T12" s="125">
        <v>107.12</v>
      </c>
      <c r="U12" s="125">
        <v>116.26</v>
      </c>
      <c r="V12" s="131">
        <v>131.77000000000001</v>
      </c>
    </row>
    <row r="13" spans="1:23" s="111" customFormat="1" ht="12" x14ac:dyDescent="0.2">
      <c r="A13" s="128" t="s">
        <v>186</v>
      </c>
      <c r="B13" s="129">
        <v>52.1</v>
      </c>
      <c r="C13" s="129">
        <v>54.96</v>
      </c>
      <c r="D13" s="129">
        <v>57.72</v>
      </c>
      <c r="E13" s="129">
        <v>60.09</v>
      </c>
      <c r="F13" s="129">
        <v>63.85</v>
      </c>
      <c r="G13" s="129">
        <v>67.510000000000005</v>
      </c>
      <c r="H13" s="129">
        <v>71.38</v>
      </c>
      <c r="I13" s="129">
        <v>72.790000000000006</v>
      </c>
      <c r="J13" s="129">
        <v>74.86</v>
      </c>
      <c r="K13" s="129">
        <v>77.42</v>
      </c>
      <c r="L13" s="129">
        <v>78.989999999999995</v>
      </c>
      <c r="M13" s="129">
        <v>81.14</v>
      </c>
      <c r="N13" s="129">
        <v>84.9</v>
      </c>
      <c r="O13" s="129">
        <v>91.63</v>
      </c>
      <c r="P13" s="129">
        <v>95.91</v>
      </c>
      <c r="Q13" s="129">
        <v>98.91</v>
      </c>
      <c r="R13" s="129">
        <v>102.12</v>
      </c>
      <c r="S13" s="129">
        <v>105.7</v>
      </c>
      <c r="T13" s="129">
        <v>107.76</v>
      </c>
      <c r="U13" s="129">
        <v>117.71</v>
      </c>
      <c r="V13" s="132">
        <v>132.80000000000001</v>
      </c>
    </row>
    <row r="14" spans="1:23" s="111" customFormat="1" ht="12" x14ac:dyDescent="0.2">
      <c r="A14" s="124" t="s">
        <v>187</v>
      </c>
      <c r="B14" s="125">
        <v>52.36</v>
      </c>
      <c r="C14" s="125">
        <v>55.17</v>
      </c>
      <c r="D14" s="125">
        <v>57.95</v>
      </c>
      <c r="E14" s="125">
        <v>60.29</v>
      </c>
      <c r="F14" s="125">
        <v>64.05</v>
      </c>
      <c r="G14" s="125">
        <v>68.14</v>
      </c>
      <c r="H14" s="125">
        <v>71.39</v>
      </c>
      <c r="I14" s="125">
        <v>72.87</v>
      </c>
      <c r="J14" s="125">
        <v>75.069999999999993</v>
      </c>
      <c r="K14" s="125">
        <v>77.66</v>
      </c>
      <c r="L14" s="125">
        <v>79.209999999999994</v>
      </c>
      <c r="M14" s="125">
        <v>81.53</v>
      </c>
      <c r="N14" s="125">
        <v>85.12</v>
      </c>
      <c r="O14" s="125">
        <v>92.1</v>
      </c>
      <c r="P14" s="125">
        <v>96.12</v>
      </c>
      <c r="Q14" s="125">
        <v>99.16</v>
      </c>
      <c r="R14" s="125">
        <v>102.44</v>
      </c>
      <c r="S14" s="125">
        <v>105.36</v>
      </c>
      <c r="T14" s="125">
        <v>108.84</v>
      </c>
      <c r="U14" s="125">
        <v>118.7</v>
      </c>
      <c r="V14" s="131">
        <v>133.38</v>
      </c>
      <c r="W14" s="133"/>
    </row>
    <row r="15" spans="1:23" s="111" customFormat="1" ht="12" x14ac:dyDescent="0.2">
      <c r="A15" s="128" t="s">
        <v>188</v>
      </c>
      <c r="B15" s="129">
        <v>52.33</v>
      </c>
      <c r="C15" s="129">
        <v>55.51</v>
      </c>
      <c r="D15" s="129">
        <v>58.18</v>
      </c>
      <c r="E15" s="129">
        <v>60.48</v>
      </c>
      <c r="F15" s="129">
        <v>64.12</v>
      </c>
      <c r="G15" s="129">
        <v>68.73</v>
      </c>
      <c r="H15" s="129">
        <v>71.349999999999994</v>
      </c>
      <c r="I15" s="129">
        <v>72.95</v>
      </c>
      <c r="J15" s="129">
        <v>75.31</v>
      </c>
      <c r="K15" s="129">
        <v>77.72</v>
      </c>
      <c r="L15" s="129">
        <v>79.39</v>
      </c>
      <c r="M15" s="129">
        <v>81.61</v>
      </c>
      <c r="N15" s="129">
        <v>85.21</v>
      </c>
      <c r="O15" s="129">
        <v>92.54</v>
      </c>
      <c r="P15" s="129">
        <v>96.23</v>
      </c>
      <c r="Q15" s="129">
        <v>99.31</v>
      </c>
      <c r="R15" s="129">
        <v>102.71</v>
      </c>
      <c r="S15" s="129">
        <v>104.97</v>
      </c>
      <c r="T15" s="129">
        <v>108.78</v>
      </c>
      <c r="U15" s="129">
        <v>119.31</v>
      </c>
      <c r="V15" s="132">
        <v>133.78</v>
      </c>
      <c r="W15" s="133"/>
    </row>
    <row r="16" spans="1:23" s="111" customFormat="1" ht="12" x14ac:dyDescent="0.2">
      <c r="A16" s="124" t="s">
        <v>189</v>
      </c>
      <c r="B16" s="125">
        <v>52.26</v>
      </c>
      <c r="C16" s="125">
        <v>55.49</v>
      </c>
      <c r="D16" s="125">
        <v>58.21</v>
      </c>
      <c r="E16" s="125">
        <v>60.73</v>
      </c>
      <c r="F16" s="125">
        <v>64.23</v>
      </c>
      <c r="G16" s="125">
        <v>69.06</v>
      </c>
      <c r="H16" s="125">
        <v>71.319999999999993</v>
      </c>
      <c r="I16" s="125">
        <v>72.92</v>
      </c>
      <c r="J16" s="125">
        <v>75.42</v>
      </c>
      <c r="K16" s="125">
        <v>77.7</v>
      </c>
      <c r="L16" s="125">
        <v>79.430000000000007</v>
      </c>
      <c r="M16" s="125">
        <v>81.73</v>
      </c>
      <c r="N16" s="125">
        <v>85.37</v>
      </c>
      <c r="O16" s="125">
        <v>93.02</v>
      </c>
      <c r="P16" s="125">
        <v>96.18</v>
      </c>
      <c r="Q16" s="125">
        <v>99.18</v>
      </c>
      <c r="R16" s="125">
        <v>102.94</v>
      </c>
      <c r="S16" s="125">
        <v>104.97</v>
      </c>
      <c r="T16" s="125">
        <v>109.14</v>
      </c>
      <c r="U16" s="125">
        <v>120.27</v>
      </c>
      <c r="V16" s="131">
        <v>134.44999999999999</v>
      </c>
    </row>
    <row r="17" spans="1:23" s="111" customFormat="1" ht="12" x14ac:dyDescent="0.2">
      <c r="A17" s="128" t="s">
        <v>190</v>
      </c>
      <c r="B17" s="129">
        <v>52.42</v>
      </c>
      <c r="C17" s="129">
        <v>55.51</v>
      </c>
      <c r="D17" s="129">
        <v>58.21</v>
      </c>
      <c r="E17" s="129">
        <v>60.96</v>
      </c>
      <c r="F17" s="129">
        <v>64.14</v>
      </c>
      <c r="G17" s="129">
        <v>69.19</v>
      </c>
      <c r="H17" s="129">
        <v>71.349999999999994</v>
      </c>
      <c r="I17" s="129">
        <v>73</v>
      </c>
      <c r="J17" s="129">
        <v>75.39</v>
      </c>
      <c r="K17" s="129">
        <v>77.73</v>
      </c>
      <c r="L17" s="129">
        <v>79.5</v>
      </c>
      <c r="M17" s="129">
        <v>81.900000000000006</v>
      </c>
      <c r="N17" s="129">
        <v>85.78</v>
      </c>
      <c r="O17" s="129">
        <v>92.73</v>
      </c>
      <c r="P17" s="129">
        <v>96.32</v>
      </c>
      <c r="Q17" s="129">
        <v>99.3</v>
      </c>
      <c r="R17" s="129">
        <v>103.03</v>
      </c>
      <c r="S17" s="129">
        <v>104.96</v>
      </c>
      <c r="T17" s="129">
        <v>109.62</v>
      </c>
      <c r="U17" s="129">
        <v>121.5</v>
      </c>
      <c r="V17" s="132">
        <v>135.38999999999999</v>
      </c>
    </row>
    <row r="18" spans="1:23" s="111" customFormat="1" ht="12" x14ac:dyDescent="0.2">
      <c r="A18" s="124" t="s">
        <v>191</v>
      </c>
      <c r="B18" s="125">
        <v>52.53</v>
      </c>
      <c r="C18" s="125">
        <v>55.67</v>
      </c>
      <c r="D18" s="125">
        <v>58.46</v>
      </c>
      <c r="E18" s="125">
        <v>61.14</v>
      </c>
      <c r="F18" s="125">
        <v>64.2</v>
      </c>
      <c r="G18" s="125">
        <v>69.06</v>
      </c>
      <c r="H18" s="125">
        <v>71.28</v>
      </c>
      <c r="I18" s="125">
        <v>72.900000000000006</v>
      </c>
      <c r="J18" s="125">
        <v>75.62</v>
      </c>
      <c r="K18" s="125">
        <v>77.959999999999994</v>
      </c>
      <c r="L18" s="125">
        <v>79.73</v>
      </c>
      <c r="M18" s="125">
        <v>82.01</v>
      </c>
      <c r="N18" s="125">
        <v>86.39</v>
      </c>
      <c r="O18" s="125">
        <v>92.68</v>
      </c>
      <c r="P18" s="125">
        <v>96.36</v>
      </c>
      <c r="Q18" s="125">
        <v>99.47</v>
      </c>
      <c r="R18" s="125">
        <v>103.26</v>
      </c>
      <c r="S18" s="125">
        <v>105.29</v>
      </c>
      <c r="T18" s="125">
        <v>110.04</v>
      </c>
      <c r="U18" s="125">
        <v>122.63</v>
      </c>
      <c r="V18" s="131">
        <v>136.11000000000001</v>
      </c>
    </row>
    <row r="19" spans="1:23" s="111" customFormat="1" ht="12" x14ac:dyDescent="0.2">
      <c r="A19" s="128" t="s">
        <v>192</v>
      </c>
      <c r="B19" s="129">
        <v>52.56</v>
      </c>
      <c r="C19" s="129">
        <v>55.66</v>
      </c>
      <c r="D19" s="129">
        <v>58.6</v>
      </c>
      <c r="E19" s="129">
        <v>61.05</v>
      </c>
      <c r="F19" s="129">
        <v>64.2</v>
      </c>
      <c r="G19" s="129">
        <v>69.3</v>
      </c>
      <c r="H19" s="129">
        <v>71.19</v>
      </c>
      <c r="I19" s="129">
        <v>72.84</v>
      </c>
      <c r="J19" s="129">
        <v>75.77</v>
      </c>
      <c r="K19" s="129">
        <v>78.08</v>
      </c>
      <c r="L19" s="129">
        <v>79.52</v>
      </c>
      <c r="M19" s="129">
        <v>82.14</v>
      </c>
      <c r="N19" s="129">
        <v>86.98</v>
      </c>
      <c r="O19" s="129">
        <v>92.62</v>
      </c>
      <c r="P19" s="129">
        <v>96.37</v>
      </c>
      <c r="Q19" s="129">
        <v>99.59</v>
      </c>
      <c r="R19" s="129">
        <v>103.43</v>
      </c>
      <c r="S19" s="129">
        <v>105.23</v>
      </c>
      <c r="T19" s="129">
        <v>110.06</v>
      </c>
      <c r="U19" s="129">
        <v>123.51</v>
      </c>
      <c r="V19" s="134">
        <v>136.44999999999999</v>
      </c>
      <c r="W19" s="169">
        <f>+V19/V16</f>
        <v>1.0148754183711417</v>
      </c>
    </row>
    <row r="20" spans="1:23" s="111" customFormat="1" ht="12" x14ac:dyDescent="0.2">
      <c r="A20" s="124" t="s">
        <v>193</v>
      </c>
      <c r="B20" s="125">
        <v>52.75</v>
      </c>
      <c r="C20" s="125">
        <v>55.82</v>
      </c>
      <c r="D20" s="125">
        <v>58.66</v>
      </c>
      <c r="E20" s="125">
        <v>61.19</v>
      </c>
      <c r="F20" s="125">
        <v>64.510000000000005</v>
      </c>
      <c r="G20" s="125">
        <v>69.489999999999995</v>
      </c>
      <c r="H20" s="125">
        <v>71.14</v>
      </c>
      <c r="I20" s="125">
        <v>72.98</v>
      </c>
      <c r="J20" s="125">
        <v>75.87</v>
      </c>
      <c r="K20" s="125">
        <v>77.98</v>
      </c>
      <c r="L20" s="125">
        <v>79.349999999999994</v>
      </c>
      <c r="M20" s="125">
        <v>82.25</v>
      </c>
      <c r="N20" s="125">
        <v>87.51</v>
      </c>
      <c r="O20" s="125">
        <v>92.73</v>
      </c>
      <c r="P20" s="125">
        <v>96.55</v>
      </c>
      <c r="Q20" s="125">
        <v>99.7</v>
      </c>
      <c r="R20" s="125">
        <v>103.54</v>
      </c>
      <c r="S20" s="125">
        <v>105.08</v>
      </c>
      <c r="T20" s="125">
        <v>110.6</v>
      </c>
      <c r="U20" s="125">
        <v>124.46</v>
      </c>
      <c r="V20" s="131"/>
      <c r="W20" s="170">
        <f>V19/K21</f>
        <v>1.7482383087764253</v>
      </c>
    </row>
    <row r="21" spans="1:23" s="111" customFormat="1" ht="12" x14ac:dyDescent="0.2">
      <c r="A21" s="135" t="s">
        <v>194</v>
      </c>
      <c r="B21" s="136">
        <v>53.07</v>
      </c>
      <c r="C21" s="136">
        <v>55.99</v>
      </c>
      <c r="D21" s="136">
        <v>58.7</v>
      </c>
      <c r="E21" s="136">
        <v>61.33</v>
      </c>
      <c r="F21" s="136">
        <v>64.819999999999993</v>
      </c>
      <c r="G21" s="136">
        <v>69.8</v>
      </c>
      <c r="H21" s="136">
        <v>71.2</v>
      </c>
      <c r="I21" s="136">
        <v>73.45</v>
      </c>
      <c r="J21" s="136">
        <v>76.19</v>
      </c>
      <c r="K21" s="136">
        <v>78.05</v>
      </c>
      <c r="L21" s="136">
        <v>79.56</v>
      </c>
      <c r="M21" s="136">
        <v>82.47</v>
      </c>
      <c r="N21" s="136">
        <v>88.05</v>
      </c>
      <c r="O21" s="136">
        <v>93.11</v>
      </c>
      <c r="P21" s="136">
        <v>96.92</v>
      </c>
      <c r="Q21" s="136">
        <v>100</v>
      </c>
      <c r="R21" s="136">
        <v>103.8</v>
      </c>
      <c r="S21" s="136">
        <v>105.48</v>
      </c>
      <c r="T21" s="136">
        <v>111.41</v>
      </c>
      <c r="U21" s="136">
        <v>126.03</v>
      </c>
      <c r="V21" s="137"/>
    </row>
    <row r="22" spans="1:23" s="111" customFormat="1" ht="12" x14ac:dyDescent="0.2"/>
    <row r="23" spans="1:23" s="111" customFormat="1" ht="13.5" customHeight="1" x14ac:dyDescent="0.2"/>
    <row r="24" spans="1:23" s="141" customFormat="1" ht="12" x14ac:dyDescent="0.25">
      <c r="A24" s="292" t="s">
        <v>195</v>
      </c>
      <c r="B24" s="293"/>
      <c r="C24" s="293"/>
      <c r="D24" s="293"/>
      <c r="E24" s="293"/>
      <c r="F24" s="293"/>
      <c r="G24" s="293"/>
      <c r="H24" s="293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9"/>
      <c r="U24" s="139"/>
      <c r="V24" s="140"/>
    </row>
    <row r="25" spans="1:23" s="141" customFormat="1" ht="12" x14ac:dyDescent="0.25">
      <c r="A25" s="294" t="s">
        <v>196</v>
      </c>
      <c r="B25" s="295"/>
      <c r="C25" s="295"/>
      <c r="D25" s="295"/>
      <c r="E25" s="295"/>
      <c r="F25" s="295"/>
      <c r="G25" s="295"/>
      <c r="H25" s="295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V25" s="143"/>
    </row>
    <row r="26" spans="1:23" s="141" customFormat="1" ht="17.100000000000001" customHeight="1" x14ac:dyDescent="0.25">
      <c r="A26" s="144" t="s">
        <v>197</v>
      </c>
      <c r="B26" s="145"/>
      <c r="C26" s="145"/>
      <c r="D26" s="145"/>
      <c r="E26" s="145"/>
      <c r="F26" s="145"/>
      <c r="G26" s="145"/>
      <c r="H26" s="146"/>
      <c r="I26" s="145"/>
      <c r="J26" s="145"/>
      <c r="K26" s="145"/>
      <c r="L26" s="145"/>
      <c r="M26" s="145"/>
      <c r="N26" s="145"/>
      <c r="O26" s="145"/>
      <c r="P26" s="145"/>
      <c r="Q26" s="145"/>
      <c r="R26" s="145"/>
      <c r="S26" s="145"/>
      <c r="T26" s="147"/>
      <c r="U26" s="147"/>
      <c r="V26" s="148"/>
    </row>
  </sheetData>
  <mergeCells count="5">
    <mergeCell ref="A1:V1"/>
    <mergeCell ref="A3:V4"/>
    <mergeCell ref="A5:V5"/>
    <mergeCell ref="A24:H24"/>
    <mergeCell ref="A25:H25"/>
  </mergeCells>
  <printOptions horizontalCentered="1" verticalCentered="1"/>
  <pageMargins left="0.75000000000000011" right="0.75000000000000011" top="1" bottom="1" header="0.5" footer="0.5"/>
  <pageSetup scale="84" orientation="portrait" horizontalDpi="4294967292" verticalDpi="4294967292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K34"/>
  <sheetViews>
    <sheetView topLeftCell="A13" workbookViewId="0">
      <selection activeCell="F16" sqref="F16"/>
    </sheetView>
  </sheetViews>
  <sheetFormatPr baseColWidth="10" defaultColWidth="11.42578125" defaultRowHeight="15" x14ac:dyDescent="0.25"/>
  <cols>
    <col min="2" max="2" width="22.28515625" customWidth="1"/>
    <col min="3" max="3" width="14.42578125" customWidth="1"/>
    <col min="5" max="5" width="18.42578125" customWidth="1"/>
    <col min="11" max="11" width="12.5703125" bestFit="1" customWidth="1"/>
  </cols>
  <sheetData>
    <row r="2" spans="2:11" ht="15.75" thickBot="1" x14ac:dyDescent="0.3"/>
    <row r="3" spans="2:11" ht="15.75" thickBot="1" x14ac:dyDescent="0.3">
      <c r="B3" s="285">
        <v>1</v>
      </c>
      <c r="C3" s="287"/>
      <c r="E3" s="298">
        <v>2</v>
      </c>
      <c r="F3" s="299"/>
    </row>
    <row r="4" spans="2:11" ht="15.75" thickBot="1" x14ac:dyDescent="0.3">
      <c r="B4" s="95" t="s">
        <v>198</v>
      </c>
      <c r="C4" s="96" t="s">
        <v>199</v>
      </c>
      <c r="E4" s="78" t="s">
        <v>200</v>
      </c>
      <c r="F4" s="101">
        <v>0.18</v>
      </c>
    </row>
    <row r="5" spans="2:11" ht="15.75" thickBot="1" x14ac:dyDescent="0.3">
      <c r="B5" s="45" t="s">
        <v>201</v>
      </c>
      <c r="C5" s="94">
        <v>1</v>
      </c>
    </row>
    <row r="6" spans="2:11" x14ac:dyDescent="0.25">
      <c r="B6" s="45" t="s">
        <v>202</v>
      </c>
      <c r="C6" s="94">
        <v>0.16</v>
      </c>
      <c r="E6" s="298">
        <v>3</v>
      </c>
      <c r="F6" s="299"/>
    </row>
    <row r="7" spans="2:11" ht="15.75" thickBot="1" x14ac:dyDescent="0.3">
      <c r="B7" s="45" t="s">
        <v>203</v>
      </c>
      <c r="C7" s="93">
        <v>0.125</v>
      </c>
      <c r="E7" s="78" t="s">
        <v>204</v>
      </c>
      <c r="F7" s="101">
        <v>0.06</v>
      </c>
    </row>
    <row r="8" spans="2:11" ht="15.75" thickBot="1" x14ac:dyDescent="0.3">
      <c r="B8" s="45" t="s">
        <v>205</v>
      </c>
      <c r="C8" s="93">
        <v>6.9599999999999995E-2</v>
      </c>
    </row>
    <row r="9" spans="2:11" x14ac:dyDescent="0.25">
      <c r="B9" s="45" t="s">
        <v>206</v>
      </c>
      <c r="C9" s="93">
        <v>8.3299999999999999E-2</v>
      </c>
      <c r="E9" s="298">
        <v>4</v>
      </c>
      <c r="F9" s="299"/>
      <c r="K9" s="90"/>
    </row>
    <row r="10" spans="2:11" ht="30.75" thickBot="1" x14ac:dyDescent="0.3">
      <c r="B10" s="45" t="s">
        <v>207</v>
      </c>
      <c r="C10" s="93">
        <v>8.3299999999999999E-2</v>
      </c>
      <c r="E10" s="99" t="s">
        <v>208</v>
      </c>
      <c r="F10" s="101">
        <v>0.15</v>
      </c>
    </row>
    <row r="11" spans="2:11" ht="15.75" thickBot="1" x14ac:dyDescent="0.3">
      <c r="B11" s="45" t="s">
        <v>209</v>
      </c>
      <c r="C11" s="94">
        <v>0.01</v>
      </c>
    </row>
    <row r="12" spans="2:11" x14ac:dyDescent="0.25">
      <c r="B12" s="45" t="s">
        <v>210</v>
      </c>
      <c r="C12" s="93">
        <v>4.1700000000000001E-2</v>
      </c>
      <c r="E12" s="298">
        <v>5</v>
      </c>
      <c r="F12" s="299"/>
    </row>
    <row r="13" spans="2:11" ht="30.75" thickBot="1" x14ac:dyDescent="0.3">
      <c r="B13" s="45" t="s">
        <v>211</v>
      </c>
      <c r="C13" s="93">
        <v>0.04</v>
      </c>
      <c r="E13" s="99" t="s">
        <v>212</v>
      </c>
      <c r="F13" s="100">
        <v>0.09</v>
      </c>
    </row>
    <row r="14" spans="2:11" ht="15.75" thickBot="1" x14ac:dyDescent="0.3">
      <c r="B14" s="45" t="s">
        <v>213</v>
      </c>
      <c r="C14" s="93">
        <v>0.02</v>
      </c>
    </row>
    <row r="15" spans="2:11" x14ac:dyDescent="0.25">
      <c r="B15" s="45" t="s">
        <v>214</v>
      </c>
      <c r="C15" s="93">
        <v>0.03</v>
      </c>
      <c r="E15" s="296">
        <v>6</v>
      </c>
      <c r="F15" s="297"/>
    </row>
    <row r="16" spans="2:11" ht="15.75" thickBot="1" x14ac:dyDescent="0.3">
      <c r="B16" s="78" t="s">
        <v>215</v>
      </c>
      <c r="C16" s="97">
        <v>0.06</v>
      </c>
      <c r="E16" s="102" t="s">
        <v>216</v>
      </c>
      <c r="F16" s="103">
        <f>+(C17+F4+F7+F10+F13)/100%*1</f>
        <v>2.2029000000000001</v>
      </c>
    </row>
    <row r="17" spans="2:3" ht="15.75" thickBot="1" x14ac:dyDescent="0.3">
      <c r="B17" s="91" t="s">
        <v>217</v>
      </c>
      <c r="C17" s="92">
        <f>SUM(C5:C16)</f>
        <v>1.7229000000000001</v>
      </c>
    </row>
    <row r="33" spans="2:2" x14ac:dyDescent="0.25">
      <c r="B33" t="s">
        <v>218</v>
      </c>
    </row>
    <row r="34" spans="2:2" x14ac:dyDescent="0.25">
      <c r="B34" t="s">
        <v>219</v>
      </c>
    </row>
  </sheetData>
  <mergeCells count="6">
    <mergeCell ref="E15:F15"/>
    <mergeCell ref="B3:C3"/>
    <mergeCell ref="E3:F3"/>
    <mergeCell ref="E6:F6"/>
    <mergeCell ref="E9:F9"/>
    <mergeCell ref="E12:F12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22"/>
  <sheetViews>
    <sheetView topLeftCell="A19" workbookViewId="0">
      <selection activeCell="G9" sqref="G9"/>
    </sheetView>
  </sheetViews>
  <sheetFormatPr baseColWidth="10" defaultColWidth="11.42578125" defaultRowHeight="15" x14ac:dyDescent="0.25"/>
  <cols>
    <col min="3" max="3" width="8.42578125" customWidth="1"/>
    <col min="4" max="4" width="42.140625" customWidth="1"/>
    <col min="5" max="5" width="19" customWidth="1"/>
  </cols>
  <sheetData>
    <row r="1" spans="3:5" ht="15.75" thickBot="1" x14ac:dyDescent="0.3"/>
    <row r="2" spans="3:5" ht="15.75" thickBot="1" x14ac:dyDescent="0.3">
      <c r="C2" s="282" t="s">
        <v>54</v>
      </c>
      <c r="D2" s="283"/>
      <c r="E2" s="284"/>
    </row>
    <row r="3" spans="3:5" ht="15.75" thickBot="1" x14ac:dyDescent="0.3">
      <c r="C3" s="19" t="s">
        <v>135</v>
      </c>
      <c r="D3" s="20" t="s">
        <v>136</v>
      </c>
      <c r="E3" s="22" t="s">
        <v>137</v>
      </c>
    </row>
    <row r="4" spans="3:5" x14ac:dyDescent="0.25">
      <c r="C4" s="24">
        <v>1</v>
      </c>
      <c r="D4" s="25" t="s">
        <v>141</v>
      </c>
      <c r="E4" s="177" t="s">
        <v>142</v>
      </c>
    </row>
    <row r="5" spans="3:5" x14ac:dyDescent="0.25">
      <c r="C5" s="30" t="s">
        <v>143</v>
      </c>
      <c r="D5" s="25" t="s">
        <v>144</v>
      </c>
      <c r="E5" s="177" t="s">
        <v>145</v>
      </c>
    </row>
    <row r="6" spans="3:5" x14ac:dyDescent="0.25">
      <c r="C6" s="30">
        <v>2</v>
      </c>
      <c r="D6" s="31" t="s">
        <v>146</v>
      </c>
      <c r="E6" s="178" t="s">
        <v>145</v>
      </c>
    </row>
    <row r="7" spans="3:5" x14ac:dyDescent="0.25">
      <c r="C7" s="30">
        <v>6</v>
      </c>
      <c r="D7" s="31" t="s">
        <v>147</v>
      </c>
      <c r="E7" s="178" t="s">
        <v>145</v>
      </c>
    </row>
    <row r="8" spans="3:5" x14ac:dyDescent="0.25">
      <c r="C8" s="30">
        <v>13</v>
      </c>
      <c r="D8" s="31" t="s">
        <v>148</v>
      </c>
      <c r="E8" s="178" t="s">
        <v>145</v>
      </c>
    </row>
    <row r="9" spans="3:5" x14ac:dyDescent="0.25">
      <c r="C9" s="30">
        <v>14</v>
      </c>
      <c r="D9" s="31" t="s">
        <v>149</v>
      </c>
      <c r="E9" s="178" t="s">
        <v>145</v>
      </c>
    </row>
    <row r="10" spans="3:5" x14ac:dyDescent="0.25">
      <c r="C10" s="30">
        <v>15</v>
      </c>
      <c r="D10" s="31" t="s">
        <v>150</v>
      </c>
      <c r="E10" s="178" t="s">
        <v>145</v>
      </c>
    </row>
    <row r="11" spans="3:5" x14ac:dyDescent="0.25">
      <c r="C11" s="30">
        <v>16</v>
      </c>
      <c r="D11" s="31" t="s">
        <v>151</v>
      </c>
      <c r="E11" s="178" t="s">
        <v>145</v>
      </c>
    </row>
    <row r="12" spans="3:5" x14ac:dyDescent="0.25">
      <c r="C12" s="30">
        <v>17</v>
      </c>
      <c r="D12" s="31" t="s">
        <v>152</v>
      </c>
      <c r="E12" s="178" t="s">
        <v>145</v>
      </c>
    </row>
    <row r="13" spans="3:5" x14ac:dyDescent="0.25">
      <c r="C13" s="30" t="s">
        <v>153</v>
      </c>
      <c r="D13" s="31" t="s">
        <v>154</v>
      </c>
      <c r="E13" s="178" t="s">
        <v>145</v>
      </c>
    </row>
    <row r="14" spans="3:5" x14ac:dyDescent="0.25">
      <c r="C14" s="30">
        <v>23</v>
      </c>
      <c r="D14" s="31" t="s">
        <v>155</v>
      </c>
      <c r="E14" s="178" t="s">
        <v>145</v>
      </c>
    </row>
    <row r="15" spans="3:5" x14ac:dyDescent="0.25">
      <c r="C15" s="30">
        <v>24</v>
      </c>
      <c r="D15" s="31" t="s">
        <v>156</v>
      </c>
      <c r="E15" s="178" t="s">
        <v>145</v>
      </c>
    </row>
    <row r="16" spans="3:5" ht="25.5" x14ac:dyDescent="0.25">
      <c r="C16" s="30" t="s">
        <v>157</v>
      </c>
      <c r="D16" s="31" t="s">
        <v>158</v>
      </c>
      <c r="E16" s="178" t="s">
        <v>145</v>
      </c>
    </row>
    <row r="17" spans="3:5" x14ac:dyDescent="0.25">
      <c r="C17" s="30" t="s">
        <v>159</v>
      </c>
      <c r="D17" s="31" t="s">
        <v>160</v>
      </c>
      <c r="E17" s="178" t="s">
        <v>145</v>
      </c>
    </row>
    <row r="18" spans="3:5" x14ac:dyDescent="0.25">
      <c r="C18" s="30" t="s">
        <v>161</v>
      </c>
      <c r="D18" s="31" t="s">
        <v>162</v>
      </c>
      <c r="E18" s="178" t="s">
        <v>145</v>
      </c>
    </row>
    <row r="19" spans="3:5" x14ac:dyDescent="0.25">
      <c r="C19" s="30" t="s">
        <v>163</v>
      </c>
      <c r="D19" s="31" t="s">
        <v>164</v>
      </c>
      <c r="E19" s="178" t="s">
        <v>145</v>
      </c>
    </row>
    <row r="20" spans="3:5" x14ac:dyDescent="0.25">
      <c r="C20" s="30" t="s">
        <v>165</v>
      </c>
      <c r="D20" s="31" t="s">
        <v>166</v>
      </c>
      <c r="E20" s="178" t="s">
        <v>145</v>
      </c>
    </row>
    <row r="21" spans="3:5" x14ac:dyDescent="0.25">
      <c r="C21" s="30">
        <v>25</v>
      </c>
      <c r="D21" s="31" t="s">
        <v>167</v>
      </c>
      <c r="E21" s="178" t="s">
        <v>145</v>
      </c>
    </row>
    <row r="22" spans="3:5" ht="15.75" thickBot="1" x14ac:dyDescent="0.3">
      <c r="C22" s="38">
        <v>26</v>
      </c>
      <c r="D22" s="39" t="s">
        <v>168</v>
      </c>
      <c r="E22" s="179" t="s">
        <v>145</v>
      </c>
    </row>
  </sheetData>
  <mergeCells count="1"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3</vt:i4>
      </vt:variant>
    </vt:vector>
  </HeadingPairs>
  <TitlesOfParts>
    <vt:vector size="12" baseType="lpstr">
      <vt:lpstr>Presupuesto</vt:lpstr>
      <vt:lpstr>Cronograma ded</vt:lpstr>
      <vt:lpstr>Dedicación</vt:lpstr>
      <vt:lpstr>Salarios CCI</vt:lpstr>
      <vt:lpstr>Categorias est </vt:lpstr>
      <vt:lpstr>Comparativo ensayos (Anexo 1)</vt:lpstr>
      <vt:lpstr>IndicesIPC</vt:lpstr>
      <vt:lpstr>Factor multiplicador (Anexo 2)</vt:lpstr>
      <vt:lpstr>Ensayos mínimos requeridos (A3)</vt:lpstr>
      <vt:lpstr>Presupuesto!CdadNoFactura</vt:lpstr>
      <vt:lpstr>Presupuesto!CdadProfesional</vt:lpstr>
      <vt:lpstr>Presupuesto!DuracionMeses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ESCOBAR CARREÑO</dc:creator>
  <cp:lastModifiedBy>user</cp:lastModifiedBy>
  <cp:revision/>
  <dcterms:created xsi:type="dcterms:W3CDTF">2023-07-28T20:31:31Z</dcterms:created>
  <dcterms:modified xsi:type="dcterms:W3CDTF">2023-12-06T16:41:12Z</dcterms:modified>
</cp:coreProperties>
</file>