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 Jose Londoño\Desktop\Formulación Salones y Salón Cultural 2023\Obra\Proceso de Adjudicación\"/>
    </mc:Choice>
  </mc:AlternateContent>
  <bookViews>
    <workbookView xWindow="0" yWindow="0" windowWidth="28800" windowHeight="11730"/>
  </bookViews>
  <sheets>
    <sheet name="UNITARIOS (MAX 60 PTS)" sheetId="2" r:id="rId1"/>
    <sheet name="Puntaje Adicional (MAX 40 PTS)" sheetId="1" r:id="rId2"/>
    <sheet name="TOTAL" sheetId="4" r:id="rId3"/>
    <sheet name="ORDEN DE ELEGIBILIDAD" sheetId="6" r:id="rId4"/>
  </sheets>
  <definedNames>
    <definedName name="_xlnm.Print_Area" localSheetId="1">'Puntaje Adicional (MAX 40 PTS)'!$A$1:$I$37</definedName>
    <definedName name="_xlnm.Print_Area" localSheetId="2">TOTAL!$A$1:$E$29</definedName>
    <definedName name="_xlnm.Print_Area" localSheetId="0">'UNITARIOS (MAX 60 PTS)'!$A$1:$E$67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2" i="2" l="1"/>
  <c r="K32" i="2" l="1"/>
  <c r="B18" i="4" l="1"/>
  <c r="D18" i="4"/>
  <c r="B11" i="4"/>
  <c r="B19" i="4"/>
  <c r="D19" i="4"/>
  <c r="B7" i="4"/>
  <c r="B20" i="4"/>
  <c r="D20" i="4"/>
  <c r="B21" i="4"/>
  <c r="B22" i="4"/>
  <c r="D22" i="4"/>
  <c r="B13" i="4"/>
  <c r="B10" i="4"/>
  <c r="D10" i="4"/>
  <c r="B5" i="4"/>
  <c r="B23" i="4"/>
  <c r="D23" i="4"/>
  <c r="B9" i="4"/>
  <c r="B12" i="4"/>
  <c r="D12" i="4"/>
  <c r="B24" i="4"/>
  <c r="B15" i="4"/>
  <c r="B25" i="4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5" i="1"/>
  <c r="B6" i="1"/>
  <c r="H6" i="1"/>
  <c r="B7" i="1"/>
  <c r="H7" i="1"/>
  <c r="B8" i="1"/>
  <c r="B9" i="1"/>
  <c r="B10" i="1"/>
  <c r="H10" i="1"/>
  <c r="B11" i="1"/>
  <c r="B12" i="1"/>
  <c r="H12" i="1"/>
  <c r="D11" i="4" s="1"/>
  <c r="B13" i="1"/>
  <c r="B14" i="1"/>
  <c r="H14" i="1"/>
  <c r="D7" i="4" s="1"/>
  <c r="B15" i="1"/>
  <c r="B16" i="1"/>
  <c r="D21" i="4"/>
  <c r="B17" i="1"/>
  <c r="B18" i="1"/>
  <c r="H18" i="1"/>
  <c r="D13" i="4" s="1"/>
  <c r="B19" i="1"/>
  <c r="H19" i="1"/>
  <c r="B20" i="1"/>
  <c r="H20" i="1"/>
  <c r="D5" i="4" s="1"/>
  <c r="B21" i="1"/>
  <c r="B22" i="1"/>
  <c r="H22" i="1"/>
  <c r="D9" i="4" s="1"/>
  <c r="B23" i="1"/>
  <c r="H23" i="1"/>
  <c r="B24" i="1"/>
  <c r="D24" i="4"/>
  <c r="B25" i="1"/>
  <c r="H25" i="1"/>
  <c r="D15" i="4" s="1"/>
  <c r="B26" i="1"/>
  <c r="D25" i="4"/>
  <c r="C28" i="2"/>
  <c r="C63" i="2" l="1"/>
  <c r="C64" i="2"/>
  <c r="C65" i="2"/>
  <c r="C66" i="2"/>
  <c r="B63" i="2"/>
  <c r="B64" i="2"/>
  <c r="B65" i="2"/>
  <c r="B66" i="2"/>
  <c r="H5" i="1" l="1"/>
  <c r="H4" i="1"/>
  <c r="K34" i="2"/>
  <c r="B46" i="2" l="1"/>
  <c r="B8" i="4" s="1"/>
  <c r="B47" i="2"/>
  <c r="B14" i="4" s="1"/>
  <c r="B48" i="2"/>
  <c r="B16" i="4" s="1"/>
  <c r="B49" i="2"/>
  <c r="B17" i="4" s="1"/>
  <c r="B50" i="2"/>
  <c r="B6" i="4" s="1"/>
  <c r="B51" i="2"/>
  <c r="B52" i="2"/>
  <c r="B53" i="2"/>
  <c r="B54" i="2"/>
  <c r="B55" i="2"/>
  <c r="B56" i="2"/>
  <c r="B57" i="2"/>
  <c r="B58" i="2"/>
  <c r="B59" i="2"/>
  <c r="B60" i="2"/>
  <c r="B61" i="2"/>
  <c r="B62" i="2"/>
  <c r="B45" i="2"/>
  <c r="B5" i="1" s="1"/>
  <c r="B4" i="4" s="1"/>
  <c r="K31" i="2" l="1"/>
  <c r="K33" i="2" l="1"/>
  <c r="D8" i="4" l="1"/>
  <c r="D14" i="4"/>
  <c r="D16" i="4"/>
  <c r="D17" i="4"/>
  <c r="D6" i="4"/>
  <c r="D4" i="4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45" i="2" l="1"/>
  <c r="C33" i="2" l="1"/>
  <c r="C34" i="2" l="1"/>
  <c r="C30" i="2"/>
  <c r="B30" i="2"/>
  <c r="B28" i="2"/>
  <c r="C38" i="2" l="1"/>
  <c r="C41" i="2"/>
  <c r="C39" i="2"/>
  <c r="C40" i="2"/>
  <c r="F40" i="2" l="1"/>
  <c r="D46" i="2" l="1"/>
  <c r="D50" i="2"/>
  <c r="C6" i="4" s="1"/>
  <c r="D54" i="2"/>
  <c r="C7" i="4" s="1"/>
  <c r="E7" i="4" s="1"/>
  <c r="D58" i="2"/>
  <c r="C13" i="4" s="1"/>
  <c r="E13" i="4" s="1"/>
  <c r="D62" i="2"/>
  <c r="D66" i="2"/>
  <c r="C25" i="4" s="1"/>
  <c r="E25" i="4" s="1"/>
  <c r="D52" i="2"/>
  <c r="C11" i="4" s="1"/>
  <c r="E11" i="4" s="1"/>
  <c r="D60" i="2"/>
  <c r="C5" i="4" s="1"/>
  <c r="E5" i="4" s="1"/>
  <c r="D47" i="2"/>
  <c r="D51" i="2"/>
  <c r="D55" i="2"/>
  <c r="D59" i="2"/>
  <c r="C10" i="4" s="1"/>
  <c r="E10" i="4" s="1"/>
  <c r="D63" i="2"/>
  <c r="C12" i="4" s="1"/>
  <c r="E12" i="4" s="1"/>
  <c r="D45" i="2"/>
  <c r="C4" i="4" s="1"/>
  <c r="E4" i="4" s="1"/>
  <c r="D48" i="2"/>
  <c r="C16" i="4" s="1"/>
  <c r="D56" i="2"/>
  <c r="C21" i="4" s="1"/>
  <c r="E21" i="4" s="1"/>
  <c r="D64" i="2"/>
  <c r="C24" i="4" s="1"/>
  <c r="E24" i="4" s="1"/>
  <c r="D49" i="2"/>
  <c r="C17" i="4" s="1"/>
  <c r="D53" i="2"/>
  <c r="C19" i="4" s="1"/>
  <c r="E19" i="4" s="1"/>
  <c r="D57" i="2"/>
  <c r="C22" i="4" s="1"/>
  <c r="E22" i="4" s="1"/>
  <c r="D61" i="2"/>
  <c r="C23" i="4" s="1"/>
  <c r="E23" i="4" s="1"/>
  <c r="D65" i="2"/>
  <c r="C15" i="4" s="1"/>
  <c r="E15" i="4" s="1"/>
  <c r="C18" i="4"/>
  <c r="E18" i="4" s="1"/>
  <c r="C20" i="4"/>
  <c r="E20" i="4" s="1"/>
  <c r="C9" i="4"/>
  <c r="E9" i="4" s="1"/>
  <c r="C14" i="4"/>
  <c r="C8" i="4"/>
  <c r="E14" i="4" l="1"/>
  <c r="E6" i="4"/>
  <c r="E17" i="4"/>
  <c r="E16" i="4"/>
  <c r="E8" i="4"/>
  <c r="C28" i="4" l="1"/>
</calcChain>
</file>

<file path=xl/sharedStrings.xml><?xml version="1.0" encoding="utf-8"?>
<sst xmlns="http://schemas.openxmlformats.org/spreadsheetml/2006/main" count="110" uniqueCount="58">
  <si>
    <t>Contratista</t>
  </si>
  <si>
    <t>TOTAL</t>
  </si>
  <si>
    <t>X</t>
  </si>
  <si>
    <t>-</t>
  </si>
  <si>
    <t>SI</t>
  </si>
  <si>
    <t>NO</t>
  </si>
  <si>
    <t>Nombre Oferente</t>
  </si>
  <si>
    <t>Valor Propuesta económica</t>
  </si>
  <si>
    <t>¿Propuesta Habilitada?</t>
  </si>
  <si>
    <t>Número de Ofertas Habilitadas (n)</t>
  </si>
  <si>
    <t>Número de veces que se incluye el valor oficial (a)</t>
  </si>
  <si>
    <t>RANGO (Inclusive)</t>
  </si>
  <si>
    <t>Alternativa de Evaluación</t>
  </si>
  <si>
    <t>Número</t>
  </si>
  <si>
    <t>A</t>
  </si>
  <si>
    <t xml:space="preserve">VALOR TRM = </t>
  </si>
  <si>
    <t>ALTERNATIVA DE EVULUACIÓN =</t>
  </si>
  <si>
    <t>ASIGNACIÓN PUNTAJES</t>
  </si>
  <si>
    <t>PUNTAJE</t>
  </si>
  <si>
    <t>MEDIA GEOMÉTRICA</t>
  </si>
  <si>
    <t>PROPONENTE GANADOR</t>
  </si>
  <si>
    <t>100 PTOS</t>
  </si>
  <si>
    <t>MEDIA ARITMÉTICA BAJA</t>
  </si>
  <si>
    <t>MEDIANA CON VALOR ABSOLUTO</t>
  </si>
  <si>
    <t>MENOR VALOR</t>
  </si>
  <si>
    <t xml:space="preserve">FACTOR DE CALIDAD </t>
  </si>
  <si>
    <t xml:space="preserve">FACTORES DE SOSTENIBILIDAD TÉCNICO AMBIENTAL AGREGADO </t>
  </si>
  <si>
    <t xml:space="preserve">APOYO A LA INDUSTRIA NACIONAL </t>
  </si>
  <si>
    <t>Valor del proceso =</t>
  </si>
  <si>
    <t>CRITERIOS DIFERENCIALES PARA EMPRENDIMIENTOS Y EMPRESAS DE MUJERESEN EL SISTEMA DE COMPRAS PÚBLICAS</t>
  </si>
  <si>
    <t xml:space="preserve">CRITERIOS DIFERENCIALES PARA MIPYME DOMICILIADA EN COLOMBIA </t>
  </si>
  <si>
    <t>VALOR PROPUESTA ECONÓMICA</t>
  </si>
  <si>
    <t>CONSORCIO MABRIL 90 2023 </t>
  </si>
  <si>
    <t>ESCALA 7 SAS AN </t>
  </si>
  <si>
    <t>Consorcio Rionegro C&amp;R </t>
  </si>
  <si>
    <t>SERARCO SAS </t>
  </si>
  <si>
    <t>SERPEC INGENIEROS </t>
  </si>
  <si>
    <t>SU MANO DERECHA </t>
  </si>
  <si>
    <t>CONSORCIO MANTENIMIENTO M&amp;X </t>
  </si>
  <si>
    <t>LIMACOR MY S.A.S </t>
  </si>
  <si>
    <t>EULHYN MAYRELL CORREA ORTIZ </t>
  </si>
  <si>
    <t>UNION TEMPORAL PYT 2023 </t>
  </si>
  <si>
    <t>CONSORCIO OBRAS LOCATIVAS </t>
  </si>
  <si>
    <t>MONICA LOPEZ </t>
  </si>
  <si>
    <t>AIA SAS </t>
  </si>
  <si>
    <t>CONSORCIO SYNARCA </t>
  </si>
  <si>
    <t>CONSTRUVALORES SAS </t>
  </si>
  <si>
    <t>CILJSAS </t>
  </si>
  <si>
    <t>G&amp;V ASOCIADOS S.A.S </t>
  </si>
  <si>
    <t>CONSORCIO INTERSALINAS </t>
  </si>
  <si>
    <t>FREDY SAUL GRIMALDOS MURALLAS </t>
  </si>
  <si>
    <t>arqos </t>
  </si>
  <si>
    <t>CONSORCIO LJ </t>
  </si>
  <si>
    <t>SOLTEC PROYECTOS DE INGENIERÍA S.A.S </t>
  </si>
  <si>
    <t>Puntaje Adicional (Max 39,5 Pts)</t>
  </si>
  <si>
    <t>UNITARIOS (Max 60,5 Pts)</t>
  </si>
  <si>
    <t>OFERENTE</t>
  </si>
  <si>
    <t>ORDEN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</si>
</sst>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.00_-;\-&quot;$&quot;\ * #,##0.00_-;_-&quot;$&quot;\ * &quot;-&quot;_-;_-@_-"/>
  </numFmts>
  <fonts count="1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5" tint="-0.249977111117893"/>
      <name val="Arial"/>
      <family val="2"/>
    </font>
    <font>
      <b/>
      <sz val="10"/>
      <color theme="0" tint="-0.14999847407452621"/>
      <name val="Arial"/>
      <family val="2"/>
    </font>
    <font>
      <b/>
      <sz val="10"/>
      <color rgb="FFFF0000"/>
      <name val="Arial"/>
      <family val="2"/>
    </font>
    <font>
      <sz val="10"/>
      <color theme="0" tint="-0.14999847407452621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2" fontId="3" fillId="0" borderId="0" applyFont="0" applyFill="0" applyBorder="0" applyAlignment="0" applyProtection="0"/>
    <xf numFmtId="0" fontId="12" fillId="0" borderId="0"/>
  </cellStyleXfs>
  <cellXfs count="90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3" xfId="0" applyFill="1" applyBorder="1" applyAlignment="1">
      <alignment horizontal="left" vertical="center"/>
    </xf>
    <xf numFmtId="0" fontId="0" fillId="2" borderId="3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horizontal="right" vertical="center" wrapText="1"/>
    </xf>
    <xf numFmtId="0" fontId="1" fillId="2" borderId="9" xfId="0" applyFont="1" applyFill="1" applyBorder="1" applyAlignment="1">
      <alignment horizontal="center"/>
    </xf>
    <xf numFmtId="0" fontId="1" fillId="2" borderId="0" xfId="0" applyFont="1" applyFill="1" applyAlignment="1">
      <alignment vertical="center"/>
    </xf>
    <xf numFmtId="0" fontId="0" fillId="2" borderId="0" xfId="0" applyFont="1" applyFill="1" applyAlignment="1">
      <alignment vertical="center"/>
    </xf>
    <xf numFmtId="2" fontId="0" fillId="2" borderId="0" xfId="0" applyNumberFormat="1" applyFont="1" applyFill="1" applyBorder="1" applyAlignment="1">
      <alignment horizontal="center" vertical="center"/>
    </xf>
    <xf numFmtId="2" fontId="0" fillId="2" borderId="1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164" fontId="4" fillId="2" borderId="9" xfId="1" applyNumberFormat="1" applyFont="1" applyFill="1" applyBorder="1" applyAlignment="1">
      <alignment vertical="center"/>
    </xf>
    <xf numFmtId="2" fontId="2" fillId="2" borderId="0" xfId="0" applyNumberFormat="1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42" fontId="6" fillId="2" borderId="0" xfId="1" applyFont="1" applyFill="1" applyAlignment="1">
      <alignment horizontal="center" vertical="center"/>
    </xf>
    <xf numFmtId="42" fontId="0" fillId="2" borderId="0" xfId="0" applyNumberFormat="1" applyFill="1" applyAlignment="1">
      <alignment horizontal="center" vertical="center"/>
    </xf>
    <xf numFmtId="42" fontId="0" fillId="2" borderId="0" xfId="0" applyNumberFormat="1" applyFill="1" applyAlignment="1">
      <alignment vertical="center"/>
    </xf>
    <xf numFmtId="0" fontId="1" fillId="2" borderId="10" xfId="0" applyFont="1" applyFill="1" applyBorder="1" applyAlignment="1">
      <alignment horizontal="center" vertical="center" wrapText="1"/>
    </xf>
    <xf numFmtId="2" fontId="1" fillId="2" borderId="0" xfId="0" applyNumberFormat="1" applyFont="1" applyFill="1" applyAlignment="1">
      <alignment horizontal="center" vertical="center"/>
    </xf>
    <xf numFmtId="164" fontId="0" fillId="2" borderId="0" xfId="0" applyNumberFormat="1" applyFill="1" applyAlignment="1">
      <alignment vertical="center"/>
    </xf>
    <xf numFmtId="0" fontId="0" fillId="2" borderId="12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wrapText="1"/>
    </xf>
    <xf numFmtId="164" fontId="4" fillId="2" borderId="9" xfId="1" quotePrefix="1" applyNumberFormat="1" applyFont="1" applyFill="1" applyBorder="1" applyAlignment="1">
      <alignment horizontal="right" vertical="center"/>
    </xf>
    <xf numFmtId="44" fontId="0" fillId="2" borderId="0" xfId="0" applyNumberFormat="1" applyFill="1" applyAlignment="1">
      <alignment vertical="center"/>
    </xf>
    <xf numFmtId="2" fontId="6" fillId="2" borderId="3" xfId="0" applyNumberFormat="1" applyFont="1" applyFill="1" applyBorder="1" applyAlignment="1">
      <alignment horizontal="center" vertical="center"/>
    </xf>
    <xf numFmtId="2" fontId="0" fillId="2" borderId="3" xfId="0" applyNumberFormat="1" applyFill="1" applyBorder="1" applyAlignment="1">
      <alignment horizontal="center" vertical="center"/>
    </xf>
    <xf numFmtId="2" fontId="7" fillId="2" borderId="0" xfId="0" applyNumberFormat="1" applyFont="1" applyFill="1" applyAlignment="1">
      <alignment horizontal="center" vertical="center"/>
    </xf>
    <xf numFmtId="2" fontId="0" fillId="2" borderId="0" xfId="0" applyNumberFormat="1" applyFill="1" applyAlignment="1">
      <alignment vertical="center"/>
    </xf>
    <xf numFmtId="0" fontId="1" fillId="2" borderId="1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42" fontId="0" fillId="2" borderId="0" xfId="1" applyFont="1" applyFill="1" applyAlignment="1">
      <alignment vertical="center"/>
    </xf>
    <xf numFmtId="0" fontId="1" fillId="2" borderId="16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left" vertical="center"/>
    </xf>
    <xf numFmtId="0" fontId="0" fillId="2" borderId="16" xfId="0" applyFill="1" applyBorder="1" applyAlignment="1">
      <alignment horizontal="center" vertical="center"/>
    </xf>
    <xf numFmtId="164" fontId="0" fillId="2" borderId="0" xfId="1" applyNumberFormat="1" applyFont="1" applyFill="1" applyAlignment="1">
      <alignment horizontal="center" vertical="center"/>
    </xf>
    <xf numFmtId="164" fontId="0" fillId="2" borderId="11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9" fillId="0" borderId="0" xfId="0" applyFont="1"/>
    <xf numFmtId="164" fontId="9" fillId="0" borderId="0" xfId="1" applyNumberFormat="1" applyFont="1"/>
    <xf numFmtId="164" fontId="0" fillId="0" borderId="0" xfId="1" applyNumberFormat="1" applyFont="1"/>
    <xf numFmtId="44" fontId="0" fillId="0" borderId="0" xfId="0" applyNumberFormat="1"/>
    <xf numFmtId="164" fontId="0" fillId="0" borderId="0" xfId="0" applyNumberFormat="1"/>
    <xf numFmtId="0" fontId="0" fillId="0" borderId="0" xfId="0" applyNumberFormat="1"/>
    <xf numFmtId="44" fontId="0" fillId="5" borderId="0" xfId="0" applyNumberFormat="1" applyFill="1"/>
    <xf numFmtId="44" fontId="10" fillId="0" borderId="0" xfId="0" applyNumberFormat="1" applyFont="1"/>
    <xf numFmtId="0" fontId="11" fillId="2" borderId="0" xfId="0" applyFont="1" applyFill="1" applyAlignment="1">
      <alignment horizontal="center" vertical="center"/>
    </xf>
    <xf numFmtId="164" fontId="11" fillId="2" borderId="0" xfId="1" applyNumberFormat="1" applyFont="1" applyFill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2" fontId="1" fillId="3" borderId="14" xfId="0" applyNumberFormat="1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164" fontId="0" fillId="0" borderId="0" xfId="1" applyNumberFormat="1" applyFont="1" applyFill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16" xfId="0" applyBorder="1"/>
    <xf numFmtId="0" fontId="0" fillId="0" borderId="16" xfId="1" applyNumberFormat="1" applyFont="1" applyBorder="1" applyAlignment="1">
      <alignment horizontal="center" vertical="center"/>
    </xf>
    <xf numFmtId="2" fontId="0" fillId="0" borderId="16" xfId="0" applyNumberFormat="1" applyBorder="1"/>
    <xf numFmtId="0" fontId="0" fillId="0" borderId="16" xfId="0" applyNumberFormat="1" applyBorder="1" applyAlignment="1">
      <alignment horizontal="center" vertical="center"/>
    </xf>
    <xf numFmtId="44" fontId="0" fillId="0" borderId="16" xfId="0" applyNumberFormat="1" applyBorder="1"/>
    <xf numFmtId="2" fontId="0" fillId="0" borderId="16" xfId="1" applyNumberFormat="1" applyFont="1" applyBorder="1"/>
    <xf numFmtId="0" fontId="1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</cellXfs>
  <cellStyles count="3">
    <cellStyle name="Moneda [0]" xfId="1" builtinId="7"/>
    <cellStyle name="Normal" xfId="0" builtinId="0"/>
    <cellStyle name="Normal 2" xfId="2"/>
  </cellStyles>
  <dxfs count="3">
    <dxf>
      <font>
        <color theme="0"/>
      </font>
    </dxf>
    <dxf>
      <font>
        <color theme="0" tint="-0.14996795556505021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6"/>
  <sheetViews>
    <sheetView tabSelected="1" view="pageBreakPreview" zoomScaleNormal="80" zoomScaleSheetLayoutView="100" workbookViewId="0">
      <selection activeCell="C21" sqref="C21"/>
    </sheetView>
  </sheetViews>
  <sheetFormatPr baseColWidth="10" defaultColWidth="11.42578125" defaultRowHeight="12.75" x14ac:dyDescent="0.2"/>
  <cols>
    <col min="1" max="1" width="11.42578125" style="2"/>
    <col min="2" max="2" width="44.5703125" style="2" customWidth="1"/>
    <col min="3" max="3" width="33.85546875" style="2" customWidth="1"/>
    <col min="4" max="4" width="14.7109375" style="6" customWidth="1"/>
    <col min="5" max="5" width="16.5703125" style="2" bestFit="1" customWidth="1"/>
    <col min="6" max="6" width="16.5703125" style="2" customWidth="1"/>
    <col min="7" max="7" width="2" style="2" customWidth="1"/>
    <col min="8" max="8" width="11.42578125" style="2" customWidth="1"/>
    <col min="9" max="9" width="30.28515625" style="2" customWidth="1"/>
    <col min="10" max="10" width="9.140625" style="2" customWidth="1"/>
    <col min="11" max="11" width="19.85546875" style="2" customWidth="1"/>
    <col min="12" max="12" width="16.5703125" style="2" customWidth="1"/>
    <col min="13" max="13" width="11.42578125" style="2" customWidth="1"/>
    <col min="14" max="14" width="23.42578125" style="2" bestFit="1" customWidth="1"/>
    <col min="15" max="15" width="11.42578125" style="2" customWidth="1"/>
    <col min="16" max="16" width="11.42578125" style="2"/>
    <col min="17" max="17" width="15.5703125" style="2" bestFit="1" customWidth="1"/>
    <col min="18" max="18" width="21.85546875" style="2" customWidth="1"/>
    <col min="19" max="16384" width="11.42578125" style="2"/>
  </cols>
  <sheetData>
    <row r="1" spans="1:18" ht="13.5" thickBot="1" x14ac:dyDescent="0.25"/>
    <row r="2" spans="1:18" ht="14.25" thickTop="1" thickBot="1" x14ac:dyDescent="0.25">
      <c r="B2" s="61" t="s">
        <v>31</v>
      </c>
      <c r="C2" s="62"/>
      <c r="D2" s="63"/>
      <c r="G2" s="1"/>
      <c r="L2" s="1" t="s">
        <v>4</v>
      </c>
      <c r="M2" s="1" t="s">
        <v>5</v>
      </c>
    </row>
    <row r="3" spans="1:18" ht="13.5" thickTop="1" x14ac:dyDescent="0.2"/>
    <row r="4" spans="1:18" ht="25.5" x14ac:dyDescent="0.2">
      <c r="B4" s="7" t="s">
        <v>6</v>
      </c>
      <c r="C4" s="8" t="s">
        <v>7</v>
      </c>
      <c r="D4" s="8" t="s">
        <v>8</v>
      </c>
      <c r="F4" s="64" t="s">
        <v>9</v>
      </c>
      <c r="G4" s="64"/>
      <c r="H4" s="65"/>
      <c r="I4" s="8" t="s">
        <v>10</v>
      </c>
    </row>
    <row r="5" spans="1:18" x14ac:dyDescent="0.2">
      <c r="A5" s="2">
        <v>1</v>
      </c>
      <c r="B5" s="3" t="s">
        <v>32</v>
      </c>
      <c r="C5" s="45">
        <v>11256240.6</v>
      </c>
      <c r="D5" s="6" t="s">
        <v>4</v>
      </c>
      <c r="F5" s="9">
        <v>1</v>
      </c>
      <c r="G5" s="9" t="s">
        <v>3</v>
      </c>
      <c r="H5" s="10">
        <v>3</v>
      </c>
      <c r="I5" s="6">
        <v>1</v>
      </c>
      <c r="N5" s="11"/>
    </row>
    <row r="6" spans="1:18" x14ac:dyDescent="0.2">
      <c r="A6" s="2">
        <v>2</v>
      </c>
      <c r="B6" s="3" t="s">
        <v>33</v>
      </c>
      <c r="C6" s="45">
        <v>11622498.103999995</v>
      </c>
      <c r="D6" s="6" t="s">
        <v>4</v>
      </c>
      <c r="F6" s="9">
        <v>4</v>
      </c>
      <c r="G6" s="9" t="s">
        <v>3</v>
      </c>
      <c r="H6" s="10">
        <v>6</v>
      </c>
      <c r="I6" s="6">
        <v>2</v>
      </c>
      <c r="N6" s="11"/>
    </row>
    <row r="7" spans="1:18" x14ac:dyDescent="0.2">
      <c r="A7" s="2">
        <v>3</v>
      </c>
      <c r="B7" s="3" t="s">
        <v>34</v>
      </c>
      <c r="C7" s="45">
        <v>11493607.950000003</v>
      </c>
      <c r="D7" s="6" t="s">
        <v>4</v>
      </c>
      <c r="F7" s="9">
        <v>7</v>
      </c>
      <c r="G7" s="9" t="s">
        <v>3</v>
      </c>
      <c r="H7" s="10">
        <v>9</v>
      </c>
      <c r="I7" s="6">
        <v>3</v>
      </c>
      <c r="N7" s="11"/>
      <c r="Q7" s="45"/>
      <c r="R7" s="6">
        <v>1</v>
      </c>
    </row>
    <row r="8" spans="1:18" x14ac:dyDescent="0.2">
      <c r="A8" s="2">
        <v>4</v>
      </c>
      <c r="B8" s="3" t="s">
        <v>35</v>
      </c>
      <c r="C8" s="45"/>
      <c r="D8" s="6" t="s">
        <v>5</v>
      </c>
      <c r="F8" s="9">
        <v>10</v>
      </c>
      <c r="G8" s="9" t="s">
        <v>3</v>
      </c>
      <c r="H8" s="10">
        <v>12</v>
      </c>
      <c r="I8" s="6">
        <v>4</v>
      </c>
      <c r="M8" s="6">
        <v>1</v>
      </c>
      <c r="N8" s="45">
        <v>77066075</v>
      </c>
      <c r="Q8" s="45"/>
      <c r="R8" s="6">
        <v>2</v>
      </c>
    </row>
    <row r="9" spans="1:18" x14ac:dyDescent="0.2">
      <c r="A9" s="2">
        <v>5</v>
      </c>
      <c r="B9" s="3" t="s">
        <v>36</v>
      </c>
      <c r="C9" s="45"/>
      <c r="D9" s="6" t="s">
        <v>5</v>
      </c>
      <c r="F9" s="9">
        <v>13</v>
      </c>
      <c r="G9" s="9" t="s">
        <v>3</v>
      </c>
      <c r="H9" s="10">
        <v>15</v>
      </c>
      <c r="I9" s="6">
        <v>5</v>
      </c>
      <c r="M9" s="6">
        <v>2</v>
      </c>
      <c r="N9" s="45">
        <v>77142654</v>
      </c>
      <c r="Q9" s="45"/>
      <c r="R9" s="6">
        <v>3</v>
      </c>
    </row>
    <row r="10" spans="1:18" x14ac:dyDescent="0.2">
      <c r="A10" s="2">
        <v>6</v>
      </c>
      <c r="B10" s="3" t="s">
        <v>37</v>
      </c>
      <c r="C10" s="45">
        <v>11090217.599999996</v>
      </c>
      <c r="D10" s="6" t="s">
        <v>4</v>
      </c>
      <c r="F10" s="9">
        <v>16</v>
      </c>
      <c r="G10" s="9" t="s">
        <v>3</v>
      </c>
      <c r="H10" s="10">
        <v>18</v>
      </c>
      <c r="I10" s="6">
        <v>6</v>
      </c>
      <c r="M10" s="6">
        <v>3</v>
      </c>
      <c r="N10" s="45">
        <v>77761765.651577637</v>
      </c>
      <c r="Q10" s="45"/>
      <c r="R10" s="6">
        <v>4</v>
      </c>
    </row>
    <row r="11" spans="1:18" x14ac:dyDescent="0.2">
      <c r="A11" s="2">
        <v>7</v>
      </c>
      <c r="B11" s="3" t="s">
        <v>38</v>
      </c>
      <c r="C11" s="45"/>
      <c r="D11" s="6" t="s">
        <v>5</v>
      </c>
      <c r="F11" s="9"/>
      <c r="G11" s="9"/>
      <c r="H11" s="10"/>
      <c r="I11" s="6"/>
      <c r="M11" s="6"/>
      <c r="N11" s="45"/>
      <c r="Q11" s="45"/>
      <c r="R11" s="6"/>
    </row>
    <row r="12" spans="1:18" x14ac:dyDescent="0.2">
      <c r="A12" s="2">
        <v>8</v>
      </c>
      <c r="B12" s="3" t="s">
        <v>39</v>
      </c>
      <c r="C12" s="45">
        <v>11852090.114999998</v>
      </c>
      <c r="D12" s="6" t="s">
        <v>4</v>
      </c>
      <c r="F12" s="9"/>
      <c r="G12" s="9"/>
      <c r="H12" s="9"/>
      <c r="I12" s="6"/>
      <c r="M12" s="6"/>
      <c r="N12" s="45"/>
      <c r="Q12" s="45"/>
      <c r="R12" s="6"/>
    </row>
    <row r="13" spans="1:18" ht="18" x14ac:dyDescent="0.2">
      <c r="A13" s="2">
        <v>9</v>
      </c>
      <c r="B13" s="3" t="s">
        <v>40</v>
      </c>
      <c r="C13" s="45"/>
      <c r="D13" s="6" t="s">
        <v>5</v>
      </c>
      <c r="F13" s="9"/>
      <c r="G13" s="9"/>
      <c r="H13" s="9"/>
      <c r="I13" s="6"/>
      <c r="M13" s="57"/>
      <c r="N13" s="58"/>
      <c r="Q13" s="45"/>
      <c r="R13" s="6"/>
    </row>
    <row r="14" spans="1:18" x14ac:dyDescent="0.2">
      <c r="A14" s="2">
        <v>10</v>
      </c>
      <c r="B14" s="3" t="s">
        <v>41</v>
      </c>
      <c r="C14" s="45">
        <v>11581083</v>
      </c>
      <c r="D14" s="6" t="s">
        <v>4</v>
      </c>
      <c r="F14" s="9"/>
      <c r="G14" s="9"/>
      <c r="H14" s="9"/>
      <c r="I14" s="6"/>
      <c r="M14" s="6"/>
      <c r="N14" s="45"/>
      <c r="Q14" s="45"/>
      <c r="R14" s="6"/>
    </row>
    <row r="15" spans="1:18" x14ac:dyDescent="0.2">
      <c r="A15" s="2">
        <v>11</v>
      </c>
      <c r="B15" s="3" t="s">
        <v>42</v>
      </c>
      <c r="C15" s="45"/>
      <c r="D15" s="6" t="s">
        <v>5</v>
      </c>
      <c r="F15" s="9"/>
      <c r="G15" s="9"/>
      <c r="H15" s="9"/>
      <c r="I15" s="6"/>
      <c r="M15" s="6"/>
      <c r="N15" s="45"/>
      <c r="Q15" s="45"/>
      <c r="R15" s="6"/>
    </row>
    <row r="16" spans="1:18" x14ac:dyDescent="0.2">
      <c r="A16" s="2">
        <v>12</v>
      </c>
      <c r="B16" s="3" t="s">
        <v>43</v>
      </c>
      <c r="C16" s="45"/>
      <c r="D16" s="6" t="s">
        <v>5</v>
      </c>
      <c r="F16" s="9"/>
      <c r="G16" s="9"/>
      <c r="H16" s="9"/>
      <c r="I16" s="6"/>
      <c r="M16" s="6"/>
      <c r="N16" s="45"/>
      <c r="Q16" s="45"/>
      <c r="R16" s="6"/>
    </row>
    <row r="17" spans="1:18" x14ac:dyDescent="0.2">
      <c r="A17" s="2">
        <v>13</v>
      </c>
      <c r="B17" s="3" t="s">
        <v>44</v>
      </c>
      <c r="C17" s="45"/>
      <c r="D17" s="6" t="s">
        <v>5</v>
      </c>
      <c r="F17" s="9"/>
      <c r="G17" s="9"/>
      <c r="H17" s="9"/>
      <c r="I17" s="6"/>
      <c r="M17" s="6"/>
      <c r="N17" s="45"/>
      <c r="Q17" s="45"/>
      <c r="R17" s="6"/>
    </row>
    <row r="18" spans="1:18" x14ac:dyDescent="0.2">
      <c r="A18" s="2">
        <v>14</v>
      </c>
      <c r="B18" s="3" t="s">
        <v>45</v>
      </c>
      <c r="C18" s="45">
        <v>11282014.161550002</v>
      </c>
      <c r="D18" s="6" t="s">
        <v>4</v>
      </c>
      <c r="F18" s="9"/>
      <c r="G18" s="9"/>
      <c r="H18" s="9"/>
      <c r="I18" s="6"/>
      <c r="M18" s="6"/>
      <c r="N18" s="45"/>
      <c r="Q18" s="45"/>
      <c r="R18" s="6"/>
    </row>
    <row r="19" spans="1:18" x14ac:dyDescent="0.2">
      <c r="A19" s="2">
        <v>15</v>
      </c>
      <c r="B19" s="3" t="s">
        <v>46</v>
      </c>
      <c r="C19" s="45">
        <v>11717185</v>
      </c>
      <c r="D19" s="6" t="s">
        <v>4</v>
      </c>
      <c r="F19" s="9"/>
      <c r="G19" s="9"/>
      <c r="H19" s="9"/>
      <c r="I19" s="6"/>
      <c r="N19" s="11"/>
      <c r="R19" s="45"/>
    </row>
    <row r="20" spans="1:18" x14ac:dyDescent="0.2">
      <c r="A20" s="2">
        <v>16</v>
      </c>
      <c r="B20" s="3" t="s">
        <v>47</v>
      </c>
      <c r="C20" s="45">
        <v>11412454.328999998</v>
      </c>
      <c r="D20" s="6" t="s">
        <v>4</v>
      </c>
      <c r="F20" s="9"/>
      <c r="G20" s="9"/>
      <c r="H20" s="9"/>
      <c r="I20" s="6"/>
      <c r="N20" s="11"/>
      <c r="R20" s="45"/>
    </row>
    <row r="21" spans="1:18" x14ac:dyDescent="0.2">
      <c r="A21" s="2">
        <v>17</v>
      </c>
      <c r="B21" s="47" t="s">
        <v>48</v>
      </c>
      <c r="C21" s="45"/>
      <c r="D21" s="6" t="s">
        <v>5</v>
      </c>
      <c r="F21" s="9"/>
      <c r="G21" s="9"/>
      <c r="H21" s="9"/>
      <c r="I21" s="6"/>
      <c r="N21" s="11"/>
      <c r="R21" s="45"/>
    </row>
    <row r="22" spans="1:18" x14ac:dyDescent="0.2">
      <c r="A22" s="2">
        <v>18</v>
      </c>
      <c r="B22" s="3" t="s">
        <v>49</v>
      </c>
      <c r="C22" s="45">
        <v>11641298.124999998</v>
      </c>
      <c r="D22" s="6" t="s">
        <v>4</v>
      </c>
      <c r="F22" s="9"/>
      <c r="G22" s="9"/>
      <c r="H22" s="9"/>
      <c r="I22" s="6"/>
      <c r="N22" s="11"/>
      <c r="Q22" s="45"/>
      <c r="R22" s="45"/>
    </row>
    <row r="23" spans="1:18" x14ac:dyDescent="0.2">
      <c r="A23" s="2">
        <v>19</v>
      </c>
      <c r="B23" s="3" t="s">
        <v>50</v>
      </c>
      <c r="C23" s="79">
        <v>9284850</v>
      </c>
      <c r="D23" s="6" t="s">
        <v>4</v>
      </c>
      <c r="F23" s="9"/>
      <c r="G23" s="9"/>
      <c r="H23" s="9"/>
      <c r="I23" s="6"/>
      <c r="N23" s="11"/>
      <c r="Q23" s="45"/>
      <c r="R23" s="45"/>
    </row>
    <row r="24" spans="1:18" x14ac:dyDescent="0.2">
      <c r="A24" s="2">
        <v>20</v>
      </c>
      <c r="B24" s="3" t="s">
        <v>51</v>
      </c>
      <c r="C24" s="45"/>
      <c r="D24" s="6" t="s">
        <v>5</v>
      </c>
      <c r="F24" s="9"/>
      <c r="G24" s="9"/>
      <c r="H24" s="9"/>
      <c r="I24" s="6"/>
      <c r="N24" s="11"/>
      <c r="Q24" s="45"/>
      <c r="R24" s="45"/>
    </row>
    <row r="25" spans="1:18" x14ac:dyDescent="0.2">
      <c r="A25" s="2">
        <v>21</v>
      </c>
      <c r="B25" s="3" t="s">
        <v>52</v>
      </c>
      <c r="C25" s="45">
        <v>11727406.799999997</v>
      </c>
      <c r="D25" s="6" t="s">
        <v>4</v>
      </c>
      <c r="F25" s="9"/>
      <c r="G25" s="9"/>
      <c r="H25" s="9"/>
      <c r="I25" s="6"/>
      <c r="N25" s="11"/>
      <c r="Q25" s="45"/>
      <c r="R25" s="45"/>
    </row>
    <row r="26" spans="1:18" x14ac:dyDescent="0.2">
      <c r="A26" s="2">
        <v>22</v>
      </c>
      <c r="B26" s="3" t="s">
        <v>53</v>
      </c>
      <c r="C26" s="45"/>
      <c r="D26" s="6" t="s">
        <v>5</v>
      </c>
      <c r="F26" s="9"/>
      <c r="G26" s="9"/>
      <c r="H26" s="9"/>
      <c r="I26" s="6"/>
      <c r="N26" s="11"/>
      <c r="Q26" s="45"/>
      <c r="R26" s="45"/>
    </row>
    <row r="27" spans="1:18" x14ac:dyDescent="0.2">
      <c r="R27" s="45"/>
    </row>
    <row r="28" spans="1:18" x14ac:dyDescent="0.2">
      <c r="B28" s="12" t="str">
        <f>F4&amp;"="</f>
        <v>Número de Ofertas Habilitadas (n)=</v>
      </c>
      <c r="C28" s="13">
        <f>COUNTIF(D5:D26,"=SI")</f>
        <v>12</v>
      </c>
      <c r="G28" s="14"/>
      <c r="I28" s="15"/>
      <c r="R28" s="45"/>
    </row>
    <row r="29" spans="1:18" x14ac:dyDescent="0.2">
      <c r="B29" s="12"/>
      <c r="G29" s="14"/>
      <c r="I29" s="15"/>
      <c r="R29" s="45"/>
    </row>
    <row r="30" spans="1:18" ht="25.5" x14ac:dyDescent="0.2">
      <c r="B30" s="12" t="str">
        <f>I4&amp;"="</f>
        <v>Número de veces que se incluye el valor oficial (a)=</v>
      </c>
      <c r="C30" s="13">
        <f>VLOOKUP(C28,$F$5:$I$11,4,TRUE)</f>
        <v>4</v>
      </c>
      <c r="F30" s="66" t="s">
        <v>11</v>
      </c>
      <c r="G30" s="66"/>
      <c r="H30" s="67"/>
      <c r="I30" s="5" t="s">
        <v>12</v>
      </c>
      <c r="J30" s="7" t="s">
        <v>13</v>
      </c>
      <c r="R30" s="45"/>
    </row>
    <row r="31" spans="1:18" ht="25.5" x14ac:dyDescent="0.2">
      <c r="F31" s="16">
        <v>0</v>
      </c>
      <c r="G31" s="16" t="s">
        <v>14</v>
      </c>
      <c r="H31" s="17">
        <v>0.24</v>
      </c>
      <c r="I31" s="30" t="s">
        <v>23</v>
      </c>
      <c r="J31" s="6">
        <v>1</v>
      </c>
      <c r="K31" s="41">
        <f>(MEDIAN(C6:C22))</f>
        <v>11581083</v>
      </c>
      <c r="R31" s="45"/>
    </row>
    <row r="32" spans="1:18" x14ac:dyDescent="0.2">
      <c r="B32" s="18" t="s">
        <v>15</v>
      </c>
      <c r="C32" s="32">
        <v>4092.33</v>
      </c>
      <c r="E32" s="33"/>
      <c r="F32" s="16">
        <v>0.25</v>
      </c>
      <c r="G32" s="16" t="s">
        <v>14</v>
      </c>
      <c r="H32" s="17">
        <v>0.49</v>
      </c>
      <c r="I32" s="29" t="s">
        <v>19</v>
      </c>
      <c r="J32" s="6">
        <v>2</v>
      </c>
      <c r="K32" s="41">
        <f>GEOMEAN(C5:C26)</f>
        <v>11309239.226816462</v>
      </c>
      <c r="L32" s="41">
        <f>(C5*C6*C7*C10*C12*C14*C18*C19*C20*C22*C23*C24*C25)^(1/13)</f>
        <v>0</v>
      </c>
      <c r="R32" s="45"/>
    </row>
    <row r="33" spans="1:18" x14ac:dyDescent="0.2">
      <c r="C33" s="20">
        <f>MID(C32,FIND(",",C32),LEN(C32)-FIND(",",C32)+1)*1</f>
        <v>0.33</v>
      </c>
      <c r="F33" s="16">
        <v>0.5</v>
      </c>
      <c r="G33" s="16" t="s">
        <v>14</v>
      </c>
      <c r="H33" s="17">
        <v>0.74</v>
      </c>
      <c r="I33" s="29" t="s">
        <v>22</v>
      </c>
      <c r="J33" s="6">
        <v>3</v>
      </c>
      <c r="K33" s="41">
        <f>((MIN(C5:C22))+(K31))/(2)</f>
        <v>11335650.299999997</v>
      </c>
      <c r="R33" s="45"/>
    </row>
    <row r="34" spans="1:18" x14ac:dyDescent="0.2">
      <c r="B34" s="18" t="s">
        <v>16</v>
      </c>
      <c r="C34" s="31" t="str">
        <f>VLOOKUP(C33,$F$31:$I$34,4,TRUE)</f>
        <v>MEDIA GEOMÉTRICA</v>
      </c>
      <c r="F34" s="16">
        <v>0.75</v>
      </c>
      <c r="G34" s="16" t="s">
        <v>14</v>
      </c>
      <c r="H34" s="6">
        <v>0.99</v>
      </c>
      <c r="I34" s="29" t="s">
        <v>24</v>
      </c>
      <c r="J34" s="6">
        <v>4</v>
      </c>
      <c r="K34" s="41">
        <f>((MIN(C5:C10)))</f>
        <v>11090217.599999996</v>
      </c>
      <c r="R34" s="45"/>
    </row>
    <row r="35" spans="1:18" x14ac:dyDescent="0.2">
      <c r="F35" s="21"/>
      <c r="G35" s="21"/>
      <c r="R35" s="45"/>
    </row>
    <row r="36" spans="1:18" x14ac:dyDescent="0.2">
      <c r="B36" s="18" t="s">
        <v>28</v>
      </c>
      <c r="C36" s="19">
        <v>310877723</v>
      </c>
      <c r="F36" s="21"/>
      <c r="G36" s="21"/>
      <c r="R36" s="45"/>
    </row>
    <row r="37" spans="1:18" x14ac:dyDescent="0.2">
      <c r="F37" s="21"/>
      <c r="G37" s="21"/>
      <c r="H37" s="21"/>
    </row>
    <row r="38" spans="1:18" x14ac:dyDescent="0.2">
      <c r="B38" s="22" t="s">
        <v>23</v>
      </c>
      <c r="C38" s="23" t="str">
        <f>IF($C$34=B38,K31,"N/A")</f>
        <v>N/A</v>
      </c>
    </row>
    <row r="39" spans="1:18" x14ac:dyDescent="0.2">
      <c r="B39" s="22" t="s">
        <v>19</v>
      </c>
      <c r="C39" s="23">
        <f>IF($C$34=B39,K32,"N/A")</f>
        <v>11309239.226816462</v>
      </c>
    </row>
    <row r="40" spans="1:18" x14ac:dyDescent="0.2">
      <c r="B40" s="22" t="s">
        <v>22</v>
      </c>
      <c r="C40" s="23" t="str">
        <f>IF($C$34=B40,HARMEAN(C45:C60),"N/A")</f>
        <v>N/A</v>
      </c>
      <c r="F40" s="25">
        <f>+SUM(C38:C41)</f>
        <v>11309239.226816462</v>
      </c>
    </row>
    <row r="41" spans="1:18" ht="13.5" thickBot="1" x14ac:dyDescent="0.25">
      <c r="B41" s="22" t="s">
        <v>24</v>
      </c>
      <c r="C41" s="23" t="str">
        <f>IF($C$34=B41,(K34),"N/A")</f>
        <v>N/A</v>
      </c>
      <c r="D41" s="24"/>
      <c r="E41" s="25"/>
      <c r="K41" s="25"/>
    </row>
    <row r="42" spans="1:18" ht="14.25" thickTop="1" thickBot="1" x14ac:dyDescent="0.25">
      <c r="B42" s="68" t="s">
        <v>17</v>
      </c>
      <c r="C42" s="69"/>
      <c r="D42" s="70"/>
    </row>
    <row r="43" spans="1:18" ht="13.5" thickTop="1" x14ac:dyDescent="0.2"/>
    <row r="44" spans="1:18" x14ac:dyDescent="0.2">
      <c r="B44" s="7" t="s">
        <v>6</v>
      </c>
      <c r="C44" s="26" t="s">
        <v>7</v>
      </c>
      <c r="D44" s="8" t="s">
        <v>18</v>
      </c>
      <c r="E44" s="6"/>
      <c r="F44" s="6"/>
    </row>
    <row r="45" spans="1:18" x14ac:dyDescent="0.2">
      <c r="A45" s="2">
        <v>1</v>
      </c>
      <c r="B45" s="3" t="str">
        <f t="shared" ref="B45:B62" si="0">B5</f>
        <v>CONSORCIO MABRIL 90 2023 </v>
      </c>
      <c r="C45" s="46">
        <f t="shared" ref="C45:C62" si="1">IF(D5="NO","NO HABILITADA",C5)</f>
        <v>11256240.6</v>
      </c>
      <c r="D45" s="27">
        <f>IFERROR(((1-ABS(($F$40-C45)/$F$40))*60.5),"-")</f>
        <v>60.216478106255551</v>
      </c>
      <c r="I45" s="25"/>
    </row>
    <row r="46" spans="1:18" x14ac:dyDescent="0.2">
      <c r="A46" s="2">
        <v>2</v>
      </c>
      <c r="B46" s="3" t="str">
        <f t="shared" si="0"/>
        <v>ESCALA 7 SAS AN </v>
      </c>
      <c r="C46" s="46">
        <f t="shared" si="1"/>
        <v>11622498.103999995</v>
      </c>
      <c r="D46" s="27">
        <f t="shared" ref="D46:D66" si="2">IFERROR(((1-ABS(($F$40-C46)/$F$40))*60.5),"-")</f>
        <v>58.824187711524893</v>
      </c>
      <c r="E46" s="28"/>
    </row>
    <row r="47" spans="1:18" x14ac:dyDescent="0.2">
      <c r="A47" s="2">
        <v>3</v>
      </c>
      <c r="B47" s="3" t="str">
        <f t="shared" si="0"/>
        <v>Consorcio Rionegro C&amp;R </v>
      </c>
      <c r="C47" s="46">
        <f t="shared" si="1"/>
        <v>11493607.950000003</v>
      </c>
      <c r="D47" s="27">
        <f t="shared" si="2"/>
        <v>59.513699548758758</v>
      </c>
    </row>
    <row r="48" spans="1:18" x14ac:dyDescent="0.2">
      <c r="A48" s="2">
        <v>4</v>
      </c>
      <c r="B48" s="3" t="str">
        <f t="shared" si="0"/>
        <v>SERARCO SAS </v>
      </c>
      <c r="C48" s="46" t="str">
        <f t="shared" si="1"/>
        <v>NO HABILITADA</v>
      </c>
      <c r="D48" s="27" t="str">
        <f t="shared" si="2"/>
        <v>-</v>
      </c>
    </row>
    <row r="49" spans="1:4" x14ac:dyDescent="0.2">
      <c r="A49" s="2">
        <v>5</v>
      </c>
      <c r="B49" s="3" t="str">
        <f t="shared" si="0"/>
        <v>SERPEC INGENIEROS </v>
      </c>
      <c r="C49" s="46" t="str">
        <f t="shared" si="1"/>
        <v>NO HABILITADA</v>
      </c>
      <c r="D49" s="27" t="str">
        <f t="shared" si="2"/>
        <v>-</v>
      </c>
    </row>
    <row r="50" spans="1:4" x14ac:dyDescent="0.2">
      <c r="A50" s="2">
        <v>6</v>
      </c>
      <c r="B50" s="3" t="str">
        <f t="shared" si="0"/>
        <v>SU MANO DERECHA </v>
      </c>
      <c r="C50" s="46">
        <f t="shared" si="1"/>
        <v>11090217.599999996</v>
      </c>
      <c r="D50" s="27">
        <f t="shared" si="2"/>
        <v>59.32832008797056</v>
      </c>
    </row>
    <row r="51" spans="1:4" x14ac:dyDescent="0.2">
      <c r="A51" s="2">
        <v>7</v>
      </c>
      <c r="B51" s="3" t="str">
        <f t="shared" si="0"/>
        <v>CONSORCIO MANTENIMIENTO M&amp;X </v>
      </c>
      <c r="C51" s="46" t="str">
        <f t="shared" si="1"/>
        <v>NO HABILITADA</v>
      </c>
      <c r="D51" s="27" t="str">
        <f t="shared" si="2"/>
        <v>-</v>
      </c>
    </row>
    <row r="52" spans="1:4" x14ac:dyDescent="0.2">
      <c r="A52" s="2">
        <v>8</v>
      </c>
      <c r="B52" s="3" t="str">
        <f t="shared" si="0"/>
        <v>LIMACOR MY S.A.S </v>
      </c>
      <c r="C52" s="46">
        <f t="shared" si="1"/>
        <v>11852090.114999998</v>
      </c>
      <c r="D52" s="27">
        <f t="shared" si="2"/>
        <v>57.595960384565224</v>
      </c>
    </row>
    <row r="53" spans="1:4" x14ac:dyDescent="0.2">
      <c r="A53" s="2">
        <v>9</v>
      </c>
      <c r="B53" s="3" t="str">
        <f t="shared" si="0"/>
        <v>EULHYN MAYRELL CORREA ORTIZ </v>
      </c>
      <c r="C53" s="46" t="str">
        <f t="shared" si="1"/>
        <v>NO HABILITADA</v>
      </c>
      <c r="D53" s="27" t="str">
        <f t="shared" si="2"/>
        <v>-</v>
      </c>
    </row>
    <row r="54" spans="1:4" x14ac:dyDescent="0.2">
      <c r="A54" s="2">
        <v>10</v>
      </c>
      <c r="B54" s="3" t="str">
        <f t="shared" si="0"/>
        <v>UNION TEMPORAL PYT 2023 </v>
      </c>
      <c r="C54" s="46">
        <f t="shared" si="1"/>
        <v>11581083</v>
      </c>
      <c r="D54" s="27">
        <f t="shared" si="2"/>
        <v>59.045742295502428</v>
      </c>
    </row>
    <row r="55" spans="1:4" x14ac:dyDescent="0.2">
      <c r="A55" s="2">
        <v>11</v>
      </c>
      <c r="B55" s="3" t="str">
        <f t="shared" si="0"/>
        <v>CONSORCIO OBRAS LOCATIVAS </v>
      </c>
      <c r="C55" s="46" t="str">
        <f t="shared" si="1"/>
        <v>NO HABILITADA</v>
      </c>
      <c r="D55" s="27" t="str">
        <f t="shared" si="2"/>
        <v>-</v>
      </c>
    </row>
    <row r="56" spans="1:4" x14ac:dyDescent="0.2">
      <c r="A56" s="2">
        <v>12</v>
      </c>
      <c r="B56" s="3" t="str">
        <f t="shared" si="0"/>
        <v>MONICA LOPEZ </v>
      </c>
      <c r="C56" s="46" t="str">
        <f t="shared" si="1"/>
        <v>NO HABILITADA</v>
      </c>
      <c r="D56" s="27" t="str">
        <f t="shared" si="2"/>
        <v>-</v>
      </c>
    </row>
    <row r="57" spans="1:4" x14ac:dyDescent="0.2">
      <c r="A57" s="2">
        <v>13</v>
      </c>
      <c r="B57" s="3" t="str">
        <f t="shared" si="0"/>
        <v>AIA SAS </v>
      </c>
      <c r="C57" s="46" t="str">
        <f t="shared" si="1"/>
        <v>NO HABILITADA</v>
      </c>
      <c r="D57" s="27" t="str">
        <f t="shared" si="2"/>
        <v>-</v>
      </c>
    </row>
    <row r="58" spans="1:4" x14ac:dyDescent="0.2">
      <c r="A58" s="2">
        <v>14</v>
      </c>
      <c r="B58" s="3" t="str">
        <f t="shared" si="0"/>
        <v>CONSORCIO SYNARCA </v>
      </c>
      <c r="C58" s="46">
        <f t="shared" si="1"/>
        <v>11282014.161550002</v>
      </c>
      <c r="D58" s="27">
        <f t="shared" si="2"/>
        <v>60.354356564965471</v>
      </c>
    </row>
    <row r="59" spans="1:4" x14ac:dyDescent="0.2">
      <c r="A59" s="2">
        <v>15</v>
      </c>
      <c r="B59" s="3" t="str">
        <f t="shared" si="0"/>
        <v>CONSTRUVALORES SAS </v>
      </c>
      <c r="C59" s="46">
        <f t="shared" si="1"/>
        <v>11717185</v>
      </c>
      <c r="D59" s="27">
        <f t="shared" si="2"/>
        <v>58.317649907070574</v>
      </c>
    </row>
    <row r="60" spans="1:4" x14ac:dyDescent="0.2">
      <c r="A60" s="2">
        <v>16</v>
      </c>
      <c r="B60" s="3" t="str">
        <f t="shared" si="0"/>
        <v>CILJSAS </v>
      </c>
      <c r="C60" s="46">
        <f t="shared" si="1"/>
        <v>11412454.328999998</v>
      </c>
      <c r="D60" s="27">
        <f t="shared" si="2"/>
        <v>59.947839632988142</v>
      </c>
    </row>
    <row r="61" spans="1:4" x14ac:dyDescent="0.2">
      <c r="A61" s="2">
        <v>17</v>
      </c>
      <c r="B61" s="3" t="str">
        <f t="shared" si="0"/>
        <v>G&amp;V ASOCIADOS S.A.S </v>
      </c>
      <c r="C61" s="46" t="str">
        <f t="shared" si="1"/>
        <v>NO HABILITADA</v>
      </c>
      <c r="D61" s="27" t="str">
        <f t="shared" si="2"/>
        <v>-</v>
      </c>
    </row>
    <row r="62" spans="1:4" x14ac:dyDescent="0.2">
      <c r="A62" s="2">
        <v>18</v>
      </c>
      <c r="B62" s="3" t="str">
        <f t="shared" si="0"/>
        <v>CONSORCIO INTERSALINAS </v>
      </c>
      <c r="C62" s="46">
        <f t="shared" si="1"/>
        <v>11641298.124999998</v>
      </c>
      <c r="D62" s="27">
        <f t="shared" si="2"/>
        <v>58.723614963200397</v>
      </c>
    </row>
    <row r="63" spans="1:4" x14ac:dyDescent="0.2">
      <c r="A63" s="2">
        <v>19</v>
      </c>
      <c r="B63" s="3" t="str">
        <f t="shared" ref="B63:B66" si="3">B23</f>
        <v>FREDY SAUL GRIMALDOS MURALLAS </v>
      </c>
      <c r="C63" s="46">
        <f t="shared" ref="C63:C66" si="4">IF(D23="NO","NO HABILITADA",C23)</f>
        <v>9284850</v>
      </c>
      <c r="D63" s="27">
        <f t="shared" si="2"/>
        <v>49.670310595961048</v>
      </c>
    </row>
    <row r="64" spans="1:4" x14ac:dyDescent="0.2">
      <c r="A64" s="2">
        <v>20</v>
      </c>
      <c r="B64" s="3" t="str">
        <f t="shared" si="3"/>
        <v>arqos </v>
      </c>
      <c r="C64" s="46" t="str">
        <f t="shared" si="4"/>
        <v>NO HABILITADA</v>
      </c>
      <c r="D64" s="27" t="str">
        <f t="shared" si="2"/>
        <v>-</v>
      </c>
    </row>
    <row r="65" spans="1:4" x14ac:dyDescent="0.2">
      <c r="A65" s="2">
        <v>21</v>
      </c>
      <c r="B65" s="3" t="str">
        <f t="shared" si="3"/>
        <v>CONSORCIO LJ </v>
      </c>
      <c r="C65" s="46">
        <f t="shared" si="4"/>
        <v>11727406.799999997</v>
      </c>
      <c r="D65" s="27">
        <f t="shared" si="2"/>
        <v>58.262967280980796</v>
      </c>
    </row>
    <row r="66" spans="1:4" x14ac:dyDescent="0.2">
      <c r="A66" s="2">
        <v>22</v>
      </c>
      <c r="B66" s="3" t="str">
        <f t="shared" si="3"/>
        <v>SOLTEC PROYECTOS DE INGENIERÍA S.A.S </v>
      </c>
      <c r="C66" s="46" t="str">
        <f t="shared" si="4"/>
        <v>NO HABILITADA</v>
      </c>
      <c r="D66" s="27" t="str">
        <f t="shared" si="2"/>
        <v>-</v>
      </c>
    </row>
  </sheetData>
  <sortState ref="N8:N18">
    <sortCondition ref="N8:N18"/>
  </sortState>
  <mergeCells count="4">
    <mergeCell ref="B2:D2"/>
    <mergeCell ref="F4:H4"/>
    <mergeCell ref="F30:H30"/>
    <mergeCell ref="B42:D42"/>
  </mergeCells>
  <conditionalFormatting sqref="B38:B41">
    <cfRule type="cellIs" dxfId="2" priority="2" operator="equal">
      <formula>$C$34</formula>
    </cfRule>
  </conditionalFormatting>
  <conditionalFormatting sqref="C38:C41">
    <cfRule type="containsText" dxfId="1" priority="1" operator="containsText" text="N/A">
      <formula>NOT(ISERROR(SEARCH("N/A",C38)))</formula>
    </cfRule>
  </conditionalFormatting>
  <dataValidations count="1">
    <dataValidation type="list" allowBlank="1" showInputMessage="1" showErrorMessage="1" sqref="D5:D26">
      <formula1>$L$2:$M$2</formula1>
    </dataValidation>
  </dataValidations>
  <pageMargins left="0.7" right="0.7" top="0.75" bottom="0.75" header="0.3" footer="0.3"/>
  <pageSetup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6"/>
  <sheetViews>
    <sheetView view="pageBreakPreview" zoomScale="70" zoomScaleNormal="80" zoomScaleSheetLayoutView="70" workbookViewId="0">
      <selection activeCell="C25" sqref="C25"/>
    </sheetView>
  </sheetViews>
  <sheetFormatPr baseColWidth="10" defaultColWidth="11.42578125" defaultRowHeight="12.75" x14ac:dyDescent="0.2"/>
  <cols>
    <col min="1" max="1" width="11.42578125" style="2"/>
    <col min="2" max="2" width="45.5703125" style="2" customWidth="1"/>
    <col min="3" max="3" width="15.5703125" style="2" bestFit="1" customWidth="1"/>
    <col min="4" max="4" width="23.7109375" style="2" customWidth="1"/>
    <col min="5" max="5" width="18.7109375" style="2" bestFit="1" customWidth="1"/>
    <col min="6" max="6" width="18.7109375" style="2" customWidth="1"/>
    <col min="7" max="7" width="16" style="2" customWidth="1"/>
    <col min="8" max="8" width="16.42578125" style="2" customWidth="1"/>
    <col min="9" max="16384" width="11.42578125" style="2"/>
  </cols>
  <sheetData>
    <row r="3" spans="1:9" ht="114.75" x14ac:dyDescent="0.2">
      <c r="B3" s="71" t="s">
        <v>0</v>
      </c>
      <c r="C3" s="48" t="s">
        <v>25</v>
      </c>
      <c r="D3" s="48" t="s">
        <v>26</v>
      </c>
      <c r="E3" s="48" t="s">
        <v>27</v>
      </c>
      <c r="F3" s="48" t="s">
        <v>29</v>
      </c>
      <c r="G3" s="48" t="s">
        <v>30</v>
      </c>
      <c r="H3" s="42" t="s">
        <v>1</v>
      </c>
      <c r="I3" s="1" t="s">
        <v>2</v>
      </c>
    </row>
    <row r="4" spans="1:9" x14ac:dyDescent="0.2">
      <c r="B4" s="71"/>
      <c r="C4" s="42">
        <v>10</v>
      </c>
      <c r="D4" s="42">
        <v>9</v>
      </c>
      <c r="E4" s="42">
        <v>20</v>
      </c>
      <c r="F4" s="59">
        <v>0.25</v>
      </c>
      <c r="G4" s="42">
        <v>0.25</v>
      </c>
      <c r="H4" s="42">
        <f>SUM(C4:G4)</f>
        <v>39.5</v>
      </c>
    </row>
    <row r="5" spans="1:9" x14ac:dyDescent="0.2">
      <c r="A5" s="44">
        <f>'UNITARIOS (MAX 60 PTS)'!A45</f>
        <v>1</v>
      </c>
      <c r="B5" s="43" t="str">
        <f>'UNITARIOS (MAX 60 PTS)'!B45</f>
        <v>CONSORCIO MABRIL 90 2023 </v>
      </c>
      <c r="C5" s="44">
        <v>10</v>
      </c>
      <c r="D5" s="44">
        <v>9</v>
      </c>
      <c r="E5" s="44">
        <v>20</v>
      </c>
      <c r="F5" s="44">
        <v>0</v>
      </c>
      <c r="G5" s="44">
        <v>0.25</v>
      </c>
      <c r="H5" s="59">
        <f>SUM(C5:G5)</f>
        <v>39.25</v>
      </c>
    </row>
    <row r="6" spans="1:9" x14ac:dyDescent="0.2">
      <c r="A6" s="44">
        <f>'UNITARIOS (MAX 60 PTS)'!A46</f>
        <v>2</v>
      </c>
      <c r="B6" s="43" t="str">
        <f>'UNITARIOS (MAX 60 PTS)'!B46</f>
        <v>ESCALA 7 SAS AN </v>
      </c>
      <c r="C6" s="44">
        <v>10</v>
      </c>
      <c r="D6" s="44">
        <v>9</v>
      </c>
      <c r="E6" s="44">
        <v>20</v>
      </c>
      <c r="F6" s="44">
        <v>0.25</v>
      </c>
      <c r="G6" s="44">
        <v>0.25</v>
      </c>
      <c r="H6" s="60">
        <f t="shared" ref="H6:H26" si="0">SUM(C6:G6)</f>
        <v>39.5</v>
      </c>
    </row>
    <row r="7" spans="1:9" x14ac:dyDescent="0.2">
      <c r="A7" s="44">
        <f>'UNITARIOS (MAX 60 PTS)'!A47</f>
        <v>3</v>
      </c>
      <c r="B7" s="43" t="str">
        <f>'UNITARIOS (MAX 60 PTS)'!B47</f>
        <v>Consorcio Rionegro C&amp;R </v>
      </c>
      <c r="C7" s="44">
        <v>10</v>
      </c>
      <c r="D7" s="44">
        <v>9</v>
      </c>
      <c r="E7" s="44">
        <v>0</v>
      </c>
      <c r="F7" s="44">
        <v>0.25</v>
      </c>
      <c r="G7" s="44">
        <v>0.25</v>
      </c>
      <c r="H7" s="60">
        <f t="shared" si="0"/>
        <v>19.5</v>
      </c>
    </row>
    <row r="8" spans="1:9" x14ac:dyDescent="0.2">
      <c r="A8" s="44">
        <f>'UNITARIOS (MAX 60 PTS)'!A48</f>
        <v>4</v>
      </c>
      <c r="B8" s="43" t="str">
        <f>'UNITARIOS (MAX 60 PTS)'!B48</f>
        <v>SERARCO SAS </v>
      </c>
      <c r="C8" s="44"/>
      <c r="D8" s="44"/>
      <c r="E8" s="44"/>
      <c r="F8" s="44"/>
      <c r="G8" s="44"/>
      <c r="H8" s="60"/>
    </row>
    <row r="9" spans="1:9" x14ac:dyDescent="0.2">
      <c r="A9" s="44">
        <f>'UNITARIOS (MAX 60 PTS)'!A49</f>
        <v>5</v>
      </c>
      <c r="B9" s="43" t="str">
        <f>'UNITARIOS (MAX 60 PTS)'!B49</f>
        <v>SERPEC INGENIEROS </v>
      </c>
      <c r="C9" s="44"/>
      <c r="D9" s="44"/>
      <c r="E9" s="44"/>
      <c r="F9" s="44"/>
      <c r="G9" s="44"/>
      <c r="H9" s="60"/>
    </row>
    <row r="10" spans="1:9" x14ac:dyDescent="0.2">
      <c r="A10" s="44">
        <f>'UNITARIOS (MAX 60 PTS)'!A50</f>
        <v>6</v>
      </c>
      <c r="B10" s="43" t="str">
        <f>'UNITARIOS (MAX 60 PTS)'!B50</f>
        <v>SU MANO DERECHA </v>
      </c>
      <c r="C10" s="44">
        <v>10</v>
      </c>
      <c r="D10" s="44">
        <v>9</v>
      </c>
      <c r="E10" s="44">
        <v>20</v>
      </c>
      <c r="F10" s="44">
        <v>0.25</v>
      </c>
      <c r="G10" s="44">
        <v>0.25</v>
      </c>
      <c r="H10" s="60">
        <f t="shared" si="0"/>
        <v>39.5</v>
      </c>
    </row>
    <row r="11" spans="1:9" x14ac:dyDescent="0.2">
      <c r="A11" s="44">
        <f>'UNITARIOS (MAX 60 PTS)'!A51</f>
        <v>7</v>
      </c>
      <c r="B11" s="43" t="str">
        <f>'UNITARIOS (MAX 60 PTS)'!B51</f>
        <v>CONSORCIO MANTENIMIENTO M&amp;X </v>
      </c>
      <c r="C11" s="44"/>
      <c r="D11" s="44"/>
      <c r="E11" s="44"/>
      <c r="F11" s="44"/>
      <c r="G11" s="44"/>
      <c r="H11" s="60"/>
    </row>
    <row r="12" spans="1:9" x14ac:dyDescent="0.2">
      <c r="A12" s="44">
        <f>'UNITARIOS (MAX 60 PTS)'!A52</f>
        <v>8</v>
      </c>
      <c r="B12" s="43" t="str">
        <f>'UNITARIOS (MAX 60 PTS)'!B52</f>
        <v>LIMACOR MY S.A.S </v>
      </c>
      <c r="C12" s="44">
        <v>10</v>
      </c>
      <c r="D12" s="44">
        <v>9</v>
      </c>
      <c r="E12" s="44">
        <v>20</v>
      </c>
      <c r="F12" s="44">
        <v>0.25</v>
      </c>
      <c r="G12" s="44">
        <v>0.25</v>
      </c>
      <c r="H12" s="60">
        <f t="shared" si="0"/>
        <v>39.5</v>
      </c>
    </row>
    <row r="13" spans="1:9" x14ac:dyDescent="0.2">
      <c r="A13" s="44">
        <f>'UNITARIOS (MAX 60 PTS)'!A53</f>
        <v>9</v>
      </c>
      <c r="B13" s="43" t="str">
        <f>'UNITARIOS (MAX 60 PTS)'!B53</f>
        <v>EULHYN MAYRELL CORREA ORTIZ </v>
      </c>
      <c r="C13" s="44"/>
      <c r="D13" s="44"/>
      <c r="E13" s="44"/>
      <c r="F13" s="44"/>
      <c r="G13" s="44"/>
      <c r="H13" s="60"/>
    </row>
    <row r="14" spans="1:9" x14ac:dyDescent="0.2">
      <c r="A14" s="44">
        <f>'UNITARIOS (MAX 60 PTS)'!A54</f>
        <v>10</v>
      </c>
      <c r="B14" s="43" t="str">
        <f>'UNITARIOS (MAX 60 PTS)'!B54</f>
        <v>UNION TEMPORAL PYT 2023 </v>
      </c>
      <c r="C14" s="44">
        <v>10</v>
      </c>
      <c r="D14" s="44">
        <v>9</v>
      </c>
      <c r="E14" s="44">
        <v>20</v>
      </c>
      <c r="F14" s="44">
        <v>0.25</v>
      </c>
      <c r="G14" s="44">
        <v>0.25</v>
      </c>
      <c r="H14" s="60">
        <f t="shared" si="0"/>
        <v>39.5</v>
      </c>
    </row>
    <row r="15" spans="1:9" x14ac:dyDescent="0.2">
      <c r="A15" s="44">
        <f>'UNITARIOS (MAX 60 PTS)'!A55</f>
        <v>11</v>
      </c>
      <c r="B15" s="43" t="str">
        <f>'UNITARIOS (MAX 60 PTS)'!B55</f>
        <v>CONSORCIO OBRAS LOCATIVAS </v>
      </c>
      <c r="C15" s="44"/>
      <c r="D15" s="44"/>
      <c r="E15" s="44"/>
      <c r="F15" s="44"/>
      <c r="G15" s="44"/>
      <c r="H15" s="60"/>
    </row>
    <row r="16" spans="1:9" x14ac:dyDescent="0.2">
      <c r="A16" s="44">
        <f>'UNITARIOS (MAX 60 PTS)'!A56</f>
        <v>12</v>
      </c>
      <c r="B16" s="43" t="str">
        <f>'UNITARIOS (MAX 60 PTS)'!B56</f>
        <v>MONICA LOPEZ </v>
      </c>
      <c r="C16" s="44"/>
      <c r="D16" s="44"/>
      <c r="E16" s="44"/>
      <c r="F16" s="44"/>
      <c r="G16" s="44"/>
      <c r="H16" s="60"/>
    </row>
    <row r="17" spans="1:8" x14ac:dyDescent="0.2">
      <c r="A17" s="44">
        <f>'UNITARIOS (MAX 60 PTS)'!A57</f>
        <v>13</v>
      </c>
      <c r="B17" s="43" t="str">
        <f>'UNITARIOS (MAX 60 PTS)'!B57</f>
        <v>AIA SAS </v>
      </c>
      <c r="C17" s="44"/>
      <c r="D17" s="44"/>
      <c r="E17" s="44"/>
      <c r="F17" s="44"/>
      <c r="G17" s="44"/>
      <c r="H17" s="60"/>
    </row>
    <row r="18" spans="1:8" x14ac:dyDescent="0.2">
      <c r="A18" s="44">
        <f>'UNITARIOS (MAX 60 PTS)'!A58</f>
        <v>14</v>
      </c>
      <c r="B18" s="43" t="str">
        <f>'UNITARIOS (MAX 60 PTS)'!B58</f>
        <v>CONSORCIO SYNARCA </v>
      </c>
      <c r="C18" s="44">
        <v>10</v>
      </c>
      <c r="D18" s="44">
        <v>9</v>
      </c>
      <c r="E18" s="44">
        <v>0</v>
      </c>
      <c r="F18" s="44">
        <v>0.25</v>
      </c>
      <c r="G18" s="44">
        <v>0.25</v>
      </c>
      <c r="H18" s="60">
        <f t="shared" si="0"/>
        <v>19.5</v>
      </c>
    </row>
    <row r="19" spans="1:8" x14ac:dyDescent="0.2">
      <c r="A19" s="44">
        <f>'UNITARIOS (MAX 60 PTS)'!A59</f>
        <v>15</v>
      </c>
      <c r="B19" s="43" t="str">
        <f>'UNITARIOS (MAX 60 PTS)'!B59</f>
        <v>CONSTRUVALORES SAS </v>
      </c>
      <c r="C19" s="44">
        <v>10</v>
      </c>
      <c r="D19" s="44">
        <v>9</v>
      </c>
      <c r="E19" s="44">
        <v>20</v>
      </c>
      <c r="F19" s="44">
        <v>0.25</v>
      </c>
      <c r="G19" s="44">
        <v>0.25</v>
      </c>
      <c r="H19" s="60">
        <f t="shared" si="0"/>
        <v>39.5</v>
      </c>
    </row>
    <row r="20" spans="1:8" x14ac:dyDescent="0.2">
      <c r="A20" s="44">
        <f>'UNITARIOS (MAX 60 PTS)'!A60</f>
        <v>16</v>
      </c>
      <c r="B20" s="43" t="str">
        <f>'UNITARIOS (MAX 60 PTS)'!B60</f>
        <v>CILJSAS </v>
      </c>
      <c r="C20" s="44">
        <v>10</v>
      </c>
      <c r="D20" s="44">
        <v>9</v>
      </c>
      <c r="E20" s="44">
        <v>20</v>
      </c>
      <c r="F20" s="44">
        <v>0.25</v>
      </c>
      <c r="G20" s="44">
        <v>0.25</v>
      </c>
      <c r="H20" s="60">
        <f t="shared" si="0"/>
        <v>39.5</v>
      </c>
    </row>
    <row r="21" spans="1:8" x14ac:dyDescent="0.2">
      <c r="A21" s="44">
        <f>'UNITARIOS (MAX 60 PTS)'!A61</f>
        <v>17</v>
      </c>
      <c r="B21" s="43" t="str">
        <f>'UNITARIOS (MAX 60 PTS)'!B61</f>
        <v>G&amp;V ASOCIADOS S.A.S </v>
      </c>
      <c r="C21" s="44"/>
      <c r="D21" s="44"/>
      <c r="E21" s="44"/>
      <c r="F21" s="44"/>
      <c r="G21" s="44"/>
      <c r="H21" s="60"/>
    </row>
    <row r="22" spans="1:8" x14ac:dyDescent="0.2">
      <c r="A22" s="44">
        <f>'UNITARIOS (MAX 60 PTS)'!A62</f>
        <v>18</v>
      </c>
      <c r="B22" s="43" t="str">
        <f>'UNITARIOS (MAX 60 PTS)'!B62</f>
        <v>CONSORCIO INTERSALINAS </v>
      </c>
      <c r="C22" s="44">
        <v>10</v>
      </c>
      <c r="D22" s="44">
        <v>9</v>
      </c>
      <c r="E22" s="44">
        <v>20</v>
      </c>
      <c r="F22" s="44">
        <v>0</v>
      </c>
      <c r="G22" s="44">
        <v>0.25</v>
      </c>
      <c r="H22" s="60">
        <f t="shared" si="0"/>
        <v>39.25</v>
      </c>
    </row>
    <row r="23" spans="1:8" x14ac:dyDescent="0.2">
      <c r="A23" s="44">
        <f>'UNITARIOS (MAX 60 PTS)'!A63</f>
        <v>19</v>
      </c>
      <c r="B23" s="43" t="str">
        <f>'UNITARIOS (MAX 60 PTS)'!B63</f>
        <v>FREDY SAUL GRIMALDOS MURALLAS </v>
      </c>
      <c r="C23" s="44">
        <v>10</v>
      </c>
      <c r="D23" s="44">
        <v>9</v>
      </c>
      <c r="E23" s="44">
        <v>20</v>
      </c>
      <c r="F23" s="44">
        <v>0</v>
      </c>
      <c r="G23" s="44">
        <v>0.25</v>
      </c>
      <c r="H23" s="60">
        <f t="shared" si="0"/>
        <v>39.25</v>
      </c>
    </row>
    <row r="24" spans="1:8" x14ac:dyDescent="0.2">
      <c r="A24" s="44">
        <f>'UNITARIOS (MAX 60 PTS)'!A64</f>
        <v>20</v>
      </c>
      <c r="B24" s="43" t="str">
        <f>'UNITARIOS (MAX 60 PTS)'!B64</f>
        <v>arqos </v>
      </c>
      <c r="C24" s="44"/>
      <c r="D24" s="44"/>
      <c r="E24" s="44"/>
      <c r="F24" s="44"/>
      <c r="G24" s="44"/>
      <c r="H24" s="60"/>
    </row>
    <row r="25" spans="1:8" x14ac:dyDescent="0.2">
      <c r="A25" s="44">
        <f>'UNITARIOS (MAX 60 PTS)'!A65</f>
        <v>21</v>
      </c>
      <c r="B25" s="43" t="str">
        <f>'UNITARIOS (MAX 60 PTS)'!B65</f>
        <v>CONSORCIO LJ </v>
      </c>
      <c r="C25" s="44">
        <v>10</v>
      </c>
      <c r="D25" s="44">
        <v>9</v>
      </c>
      <c r="E25" s="44">
        <v>0</v>
      </c>
      <c r="F25" s="44">
        <v>0</v>
      </c>
      <c r="G25" s="44">
        <v>0.25</v>
      </c>
      <c r="H25" s="60">
        <f t="shared" si="0"/>
        <v>19.25</v>
      </c>
    </row>
    <row r="26" spans="1:8" x14ac:dyDescent="0.2">
      <c r="A26" s="44">
        <f>'UNITARIOS (MAX 60 PTS)'!A66</f>
        <v>22</v>
      </c>
      <c r="B26" s="43" t="str">
        <f>'UNITARIOS (MAX 60 PTS)'!B66</f>
        <v>SOLTEC PROYECTOS DE INGENIERÍA S.A.S </v>
      </c>
      <c r="C26" s="44"/>
      <c r="D26" s="44"/>
      <c r="E26" s="44"/>
      <c r="F26" s="44"/>
      <c r="G26" s="44"/>
      <c r="H26" s="60"/>
    </row>
  </sheetData>
  <mergeCells count="1">
    <mergeCell ref="B3:B4"/>
  </mergeCells>
  <pageMargins left="0.7" right="0.7" top="0.75" bottom="0.75" header="0.3" footer="0.3"/>
  <pageSetup scale="6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9"/>
  <sheetViews>
    <sheetView view="pageBreakPreview" zoomScale="80" zoomScaleNormal="80" zoomScaleSheetLayoutView="80" workbookViewId="0">
      <selection activeCell="E2" sqref="E2"/>
    </sheetView>
  </sheetViews>
  <sheetFormatPr baseColWidth="10" defaultColWidth="11.42578125" defaultRowHeight="12.75" x14ac:dyDescent="0.2"/>
  <cols>
    <col min="1" max="1" width="11.42578125" style="2"/>
    <col min="2" max="2" width="37.7109375" style="2" customWidth="1"/>
    <col min="3" max="3" width="14.140625" style="2" bestFit="1" customWidth="1"/>
    <col min="4" max="4" width="16.85546875" style="2" customWidth="1"/>
    <col min="5" max="5" width="21" style="2" customWidth="1"/>
    <col min="6" max="16384" width="11.42578125" style="2"/>
  </cols>
  <sheetData>
    <row r="2" spans="2:5" x14ac:dyDescent="0.2">
      <c r="B2" s="74"/>
      <c r="C2" s="80" t="s">
        <v>55</v>
      </c>
      <c r="D2" s="72" t="s">
        <v>54</v>
      </c>
      <c r="E2" s="39" t="s">
        <v>1</v>
      </c>
    </row>
    <row r="3" spans="2:5" ht="24" customHeight="1" x14ac:dyDescent="0.2">
      <c r="B3" s="75"/>
      <c r="C3" s="81"/>
      <c r="D3" s="73"/>
      <c r="E3" s="40" t="s">
        <v>21</v>
      </c>
    </row>
    <row r="4" spans="2:5" x14ac:dyDescent="0.2">
      <c r="B4" s="43" t="str">
        <f>'Puntaje Adicional (MAX 40 PTS)'!B5</f>
        <v>CONSORCIO MABRIL 90 2023 </v>
      </c>
      <c r="C4" s="35">
        <f>+'UNITARIOS (MAX 60 PTS)'!D45</f>
        <v>60.216478106255551</v>
      </c>
      <c r="D4" s="4">
        <f>'Puntaje Adicional (MAX 40 PTS)'!H5</f>
        <v>39.25</v>
      </c>
      <c r="E4" s="34">
        <f>+SUM(C4:D4)</f>
        <v>99.466478106255551</v>
      </c>
    </row>
    <row r="5" spans="2:5" x14ac:dyDescent="0.2">
      <c r="B5" s="43" t="str">
        <f>'Puntaje Adicional (MAX 40 PTS)'!B20</f>
        <v>CILJSAS </v>
      </c>
      <c r="C5" s="35">
        <f>+'UNITARIOS (MAX 60 PTS)'!D60</f>
        <v>59.947839632988142</v>
      </c>
      <c r="D5" s="4">
        <f>'Puntaje Adicional (MAX 40 PTS)'!H20</f>
        <v>39.5</v>
      </c>
      <c r="E5" s="34">
        <f>+SUM(C5:D5)</f>
        <v>99.447839632988149</v>
      </c>
    </row>
    <row r="6" spans="2:5" x14ac:dyDescent="0.2">
      <c r="B6" s="43" t="str">
        <f>'Puntaje Adicional (MAX 40 PTS)'!B10</f>
        <v>SU MANO DERECHA </v>
      </c>
      <c r="C6" s="35">
        <f>+'UNITARIOS (MAX 60 PTS)'!D50</f>
        <v>59.32832008797056</v>
      </c>
      <c r="D6" s="4">
        <f>'Puntaje Adicional (MAX 40 PTS)'!H10</f>
        <v>39.5</v>
      </c>
      <c r="E6" s="34">
        <f>+SUM(C6:D6)</f>
        <v>98.828320087970553</v>
      </c>
    </row>
    <row r="7" spans="2:5" x14ac:dyDescent="0.2">
      <c r="B7" s="43" t="str">
        <f>'Puntaje Adicional (MAX 40 PTS)'!B14</f>
        <v>UNION TEMPORAL PYT 2023 </v>
      </c>
      <c r="C7" s="35">
        <f>+'UNITARIOS (MAX 60 PTS)'!D54</f>
        <v>59.045742295502428</v>
      </c>
      <c r="D7" s="4">
        <f>'Puntaje Adicional (MAX 40 PTS)'!H14</f>
        <v>39.5</v>
      </c>
      <c r="E7" s="34">
        <f>+SUM(C7:D7)</f>
        <v>98.545742295502436</v>
      </c>
    </row>
    <row r="8" spans="2:5" x14ac:dyDescent="0.2">
      <c r="B8" s="43" t="str">
        <f>'Puntaje Adicional (MAX 40 PTS)'!B6</f>
        <v>ESCALA 7 SAS AN </v>
      </c>
      <c r="C8" s="35">
        <f>+'UNITARIOS (MAX 60 PTS)'!D46</f>
        <v>58.824187711524893</v>
      </c>
      <c r="D8" s="4">
        <f>'Puntaje Adicional (MAX 40 PTS)'!H6</f>
        <v>39.5</v>
      </c>
      <c r="E8" s="34">
        <f>+SUM(C8:D8)</f>
        <v>98.3241877115249</v>
      </c>
    </row>
    <row r="9" spans="2:5" x14ac:dyDescent="0.2">
      <c r="B9" s="43" t="str">
        <f>'Puntaje Adicional (MAX 40 PTS)'!B22</f>
        <v>CONSORCIO INTERSALINAS </v>
      </c>
      <c r="C9" s="35">
        <f>+'UNITARIOS (MAX 60 PTS)'!D62</f>
        <v>58.723614963200397</v>
      </c>
      <c r="D9" s="4">
        <f>'Puntaje Adicional (MAX 40 PTS)'!H22</f>
        <v>39.25</v>
      </c>
      <c r="E9" s="34">
        <f>+SUM(C9:D9)</f>
        <v>97.97361496320039</v>
      </c>
    </row>
    <row r="10" spans="2:5" x14ac:dyDescent="0.2">
      <c r="B10" s="43" t="str">
        <f>'Puntaje Adicional (MAX 40 PTS)'!B19</f>
        <v>CONSTRUVALORES SAS </v>
      </c>
      <c r="C10" s="35">
        <f>+'UNITARIOS (MAX 60 PTS)'!D59</f>
        <v>58.317649907070574</v>
      </c>
      <c r="D10" s="4">
        <f>'Puntaje Adicional (MAX 40 PTS)'!H19</f>
        <v>39.5</v>
      </c>
      <c r="E10" s="34">
        <f>+SUM(C10:D10)</f>
        <v>97.817649907070574</v>
      </c>
    </row>
    <row r="11" spans="2:5" x14ac:dyDescent="0.2">
      <c r="B11" s="43" t="str">
        <f>'Puntaje Adicional (MAX 40 PTS)'!B12</f>
        <v>LIMACOR MY S.A.S </v>
      </c>
      <c r="C11" s="35">
        <f>+'UNITARIOS (MAX 60 PTS)'!D52</f>
        <v>57.595960384565224</v>
      </c>
      <c r="D11" s="4">
        <f>'Puntaje Adicional (MAX 40 PTS)'!H12</f>
        <v>39.5</v>
      </c>
      <c r="E11" s="34">
        <f>+SUM(C11:D11)</f>
        <v>97.095960384565217</v>
      </c>
    </row>
    <row r="12" spans="2:5" x14ac:dyDescent="0.2">
      <c r="B12" s="43" t="str">
        <f>'Puntaje Adicional (MAX 40 PTS)'!B23</f>
        <v>FREDY SAUL GRIMALDOS MURALLAS </v>
      </c>
      <c r="C12" s="35">
        <f>+'UNITARIOS (MAX 60 PTS)'!D63</f>
        <v>49.670310595961048</v>
      </c>
      <c r="D12" s="4">
        <f>'Puntaje Adicional (MAX 40 PTS)'!H23</f>
        <v>39.25</v>
      </c>
      <c r="E12" s="34">
        <f>+SUM(C12:D12)</f>
        <v>88.920310595961041</v>
      </c>
    </row>
    <row r="13" spans="2:5" x14ac:dyDescent="0.2">
      <c r="B13" s="43" t="str">
        <f>'Puntaje Adicional (MAX 40 PTS)'!B18</f>
        <v>CONSORCIO SYNARCA </v>
      </c>
      <c r="C13" s="35">
        <f>+'UNITARIOS (MAX 60 PTS)'!D58</f>
        <v>60.354356564965471</v>
      </c>
      <c r="D13" s="4">
        <f>'Puntaje Adicional (MAX 40 PTS)'!H18</f>
        <v>19.5</v>
      </c>
      <c r="E13" s="34">
        <f>+SUM(C13:D13)</f>
        <v>79.854356564965471</v>
      </c>
    </row>
    <row r="14" spans="2:5" x14ac:dyDescent="0.2">
      <c r="B14" s="43" t="str">
        <f>'Puntaje Adicional (MAX 40 PTS)'!B7</f>
        <v>Consorcio Rionegro C&amp;R </v>
      </c>
      <c r="C14" s="35">
        <f>+'UNITARIOS (MAX 60 PTS)'!D47</f>
        <v>59.513699548758758</v>
      </c>
      <c r="D14" s="4">
        <f>'Puntaje Adicional (MAX 40 PTS)'!H7</f>
        <v>19.5</v>
      </c>
      <c r="E14" s="34">
        <f>+SUM(C14:D14)</f>
        <v>79.013699548758751</v>
      </c>
    </row>
    <row r="15" spans="2:5" x14ac:dyDescent="0.2">
      <c r="B15" s="43" t="str">
        <f>'Puntaje Adicional (MAX 40 PTS)'!B25</f>
        <v>CONSORCIO LJ </v>
      </c>
      <c r="C15" s="35">
        <f>+'UNITARIOS (MAX 60 PTS)'!D65</f>
        <v>58.262967280980796</v>
      </c>
      <c r="D15" s="4">
        <f>'Puntaje Adicional (MAX 40 PTS)'!H25</f>
        <v>19.25</v>
      </c>
      <c r="E15" s="34">
        <f>+SUM(C15:D15)</f>
        <v>77.512967280980803</v>
      </c>
    </row>
    <row r="16" spans="2:5" x14ac:dyDescent="0.2">
      <c r="B16" s="43" t="str">
        <f>'Puntaje Adicional (MAX 40 PTS)'!B8</f>
        <v>SERARCO SAS </v>
      </c>
      <c r="C16" s="35" t="str">
        <f>+'UNITARIOS (MAX 60 PTS)'!D48</f>
        <v>-</v>
      </c>
      <c r="D16" s="4">
        <f>'Puntaje Adicional (MAX 40 PTS)'!H8</f>
        <v>0</v>
      </c>
      <c r="E16" s="34">
        <f>+SUM(C16:D16)</f>
        <v>0</v>
      </c>
    </row>
    <row r="17" spans="2:5" x14ac:dyDescent="0.2">
      <c r="B17" s="43" t="str">
        <f>'Puntaje Adicional (MAX 40 PTS)'!B9</f>
        <v>SERPEC INGENIEROS </v>
      </c>
      <c r="C17" s="35" t="str">
        <f>+'UNITARIOS (MAX 60 PTS)'!D49</f>
        <v>-</v>
      </c>
      <c r="D17" s="4">
        <f>'Puntaje Adicional (MAX 40 PTS)'!H9</f>
        <v>0</v>
      </c>
      <c r="E17" s="34">
        <f>+SUM(C17:D17)</f>
        <v>0</v>
      </c>
    </row>
    <row r="18" spans="2:5" x14ac:dyDescent="0.2">
      <c r="B18" s="43" t="str">
        <f>'Puntaje Adicional (MAX 40 PTS)'!B11</f>
        <v>CONSORCIO MANTENIMIENTO M&amp;X </v>
      </c>
      <c r="C18" s="35" t="str">
        <f>+'UNITARIOS (MAX 60 PTS)'!D51</f>
        <v>-</v>
      </c>
      <c r="D18" s="4">
        <f>'Puntaje Adicional (MAX 40 PTS)'!H11</f>
        <v>0</v>
      </c>
      <c r="E18" s="34">
        <f>+SUM(C18:D18)</f>
        <v>0</v>
      </c>
    </row>
    <row r="19" spans="2:5" x14ac:dyDescent="0.2">
      <c r="B19" s="43" t="str">
        <f>'Puntaje Adicional (MAX 40 PTS)'!B13</f>
        <v>EULHYN MAYRELL CORREA ORTIZ </v>
      </c>
      <c r="C19" s="35" t="str">
        <f>+'UNITARIOS (MAX 60 PTS)'!D53</f>
        <v>-</v>
      </c>
      <c r="D19" s="4">
        <f>'Puntaje Adicional (MAX 40 PTS)'!H13</f>
        <v>0</v>
      </c>
      <c r="E19" s="34">
        <f>+SUM(C19:D19)</f>
        <v>0</v>
      </c>
    </row>
    <row r="20" spans="2:5" x14ac:dyDescent="0.2">
      <c r="B20" s="43" t="str">
        <f>'Puntaje Adicional (MAX 40 PTS)'!B15</f>
        <v>CONSORCIO OBRAS LOCATIVAS </v>
      </c>
      <c r="C20" s="35" t="str">
        <f>+'UNITARIOS (MAX 60 PTS)'!D55</f>
        <v>-</v>
      </c>
      <c r="D20" s="4">
        <f>'Puntaje Adicional (MAX 40 PTS)'!H15</f>
        <v>0</v>
      </c>
      <c r="E20" s="34">
        <f>+SUM(C20:D20)</f>
        <v>0</v>
      </c>
    </row>
    <row r="21" spans="2:5" x14ac:dyDescent="0.2">
      <c r="B21" s="43" t="str">
        <f>'Puntaje Adicional (MAX 40 PTS)'!B16</f>
        <v>MONICA LOPEZ </v>
      </c>
      <c r="C21" s="35" t="str">
        <f>+'UNITARIOS (MAX 60 PTS)'!D56</f>
        <v>-</v>
      </c>
      <c r="D21" s="4">
        <f>'Puntaje Adicional (MAX 40 PTS)'!H16</f>
        <v>0</v>
      </c>
      <c r="E21" s="34">
        <f>+SUM(C21:D21)</f>
        <v>0</v>
      </c>
    </row>
    <row r="22" spans="2:5" x14ac:dyDescent="0.2">
      <c r="B22" s="43" t="str">
        <f>'Puntaje Adicional (MAX 40 PTS)'!B17</f>
        <v>AIA SAS </v>
      </c>
      <c r="C22" s="35" t="str">
        <f>+'UNITARIOS (MAX 60 PTS)'!D57</f>
        <v>-</v>
      </c>
      <c r="D22" s="4">
        <f>'Puntaje Adicional (MAX 40 PTS)'!H17</f>
        <v>0</v>
      </c>
      <c r="E22" s="34">
        <f>+SUM(C22:D22)</f>
        <v>0</v>
      </c>
    </row>
    <row r="23" spans="2:5" x14ac:dyDescent="0.2">
      <c r="B23" s="43" t="str">
        <f>'Puntaje Adicional (MAX 40 PTS)'!B21</f>
        <v>G&amp;V ASOCIADOS S.A.S </v>
      </c>
      <c r="C23" s="35" t="str">
        <f>+'UNITARIOS (MAX 60 PTS)'!D61</f>
        <v>-</v>
      </c>
      <c r="D23" s="4">
        <f>'Puntaje Adicional (MAX 40 PTS)'!H21</f>
        <v>0</v>
      </c>
      <c r="E23" s="34">
        <f>+SUM(C23:D23)</f>
        <v>0</v>
      </c>
    </row>
    <row r="24" spans="2:5" x14ac:dyDescent="0.2">
      <c r="B24" s="43" t="str">
        <f>'Puntaje Adicional (MAX 40 PTS)'!B24</f>
        <v>arqos </v>
      </c>
      <c r="C24" s="35" t="str">
        <f>+'UNITARIOS (MAX 60 PTS)'!D64</f>
        <v>-</v>
      </c>
      <c r="D24" s="4">
        <f>'Puntaje Adicional (MAX 40 PTS)'!H24</f>
        <v>0</v>
      </c>
      <c r="E24" s="34">
        <f>+SUM(C24:D24)</f>
        <v>0</v>
      </c>
    </row>
    <row r="25" spans="2:5" x14ac:dyDescent="0.2">
      <c r="B25" s="43" t="str">
        <f>'Puntaje Adicional (MAX 40 PTS)'!B26</f>
        <v>SOLTEC PROYECTOS DE INGENIERÍA S.A.S </v>
      </c>
      <c r="C25" s="35" t="str">
        <f>+'UNITARIOS (MAX 60 PTS)'!D66</f>
        <v>-</v>
      </c>
      <c r="D25" s="4">
        <f>'Puntaje Adicional (MAX 40 PTS)'!H26</f>
        <v>0</v>
      </c>
      <c r="E25" s="34">
        <f>+SUM(C25:D25)</f>
        <v>0</v>
      </c>
    </row>
    <row r="26" spans="2:5" x14ac:dyDescent="0.2">
      <c r="E26" s="36"/>
    </row>
    <row r="27" spans="2:5" ht="13.5" thickBot="1" x14ac:dyDescent="0.25">
      <c r="C27" s="37"/>
    </row>
    <row r="28" spans="2:5" ht="14.25" thickTop="1" thickBot="1" x14ac:dyDescent="0.25">
      <c r="B28" s="38" t="s">
        <v>20</v>
      </c>
      <c r="C28" s="76" t="str">
        <f>INDEX($B$4:$E$25,MATCH(MAX(E4:E25),$E$4:$E$25,0),1)</f>
        <v>CONSORCIO MABRIL 90 2023 </v>
      </c>
      <c r="D28" s="77"/>
      <c r="E28" s="78"/>
    </row>
    <row r="29" spans="2:5" ht="13.5" thickTop="1" x14ac:dyDescent="0.2"/>
  </sheetData>
  <sortState ref="B4:E25">
    <sortCondition descending="1" ref="E4"/>
  </sortState>
  <mergeCells count="4">
    <mergeCell ref="D2:D3"/>
    <mergeCell ref="B2:B3"/>
    <mergeCell ref="C28:E28"/>
    <mergeCell ref="C2:C3"/>
  </mergeCells>
  <conditionalFormatting sqref="E4:E25">
    <cfRule type="cellIs" dxfId="0" priority="1" operator="equal">
      <formula>0</formula>
    </cfRule>
  </conditionalFormatting>
  <pageMargins left="0.7" right="0.7" top="0.75" bottom="0.75" header="0.3" footer="0.3"/>
  <pageSetup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zoomScale="115" zoomScaleNormal="115" workbookViewId="0">
      <selection activeCell="B20" sqref="B20"/>
    </sheetView>
  </sheetViews>
  <sheetFormatPr baseColWidth="10" defaultRowHeight="12.75" x14ac:dyDescent="0.2"/>
  <cols>
    <col min="1" max="1" width="19.28515625" bestFit="1" customWidth="1"/>
    <col min="2" max="2" width="43.42578125" customWidth="1"/>
    <col min="3" max="3" width="10.5703125" customWidth="1"/>
    <col min="4" max="4" width="12" customWidth="1"/>
    <col min="5" max="5" width="9.140625" customWidth="1"/>
    <col min="6" max="6" width="19.140625" bestFit="1" customWidth="1"/>
    <col min="7" max="7" width="15.42578125" bestFit="1" customWidth="1"/>
    <col min="8" max="8" width="20.28515625" bestFit="1" customWidth="1"/>
    <col min="9" max="9" width="16.5703125" bestFit="1" customWidth="1"/>
    <col min="10" max="10" width="18.140625" bestFit="1" customWidth="1"/>
    <col min="11" max="11" width="20.140625" bestFit="1" customWidth="1"/>
    <col min="12" max="12" width="21.85546875" bestFit="1" customWidth="1"/>
    <col min="13" max="13" width="20.140625" bestFit="1" customWidth="1"/>
    <col min="14" max="14" width="15.7109375" customWidth="1"/>
    <col min="15" max="15" width="21.85546875" bestFit="1" customWidth="1"/>
    <col min="16" max="16" width="18.140625" bestFit="1" customWidth="1"/>
    <col min="17" max="17" width="22.85546875" bestFit="1" customWidth="1"/>
  </cols>
  <sheetData>
    <row r="1" spans="1:17" ht="51" x14ac:dyDescent="0.2">
      <c r="A1" s="88" t="s">
        <v>57</v>
      </c>
      <c r="B1" s="88" t="s">
        <v>56</v>
      </c>
      <c r="C1" s="89" t="s">
        <v>55</v>
      </c>
      <c r="D1" s="89" t="s">
        <v>54</v>
      </c>
      <c r="E1" s="88" t="s">
        <v>1</v>
      </c>
    </row>
    <row r="2" spans="1:17" x14ac:dyDescent="0.2">
      <c r="A2" s="83">
        <v>1</v>
      </c>
      <c r="B2" s="82" t="s">
        <v>32</v>
      </c>
      <c r="C2" s="84">
        <v>60.216478106255551</v>
      </c>
      <c r="D2" s="84">
        <v>39.25</v>
      </c>
      <c r="E2" s="84">
        <v>99.466478106255551</v>
      </c>
      <c r="G2" s="49"/>
      <c r="I2" s="49"/>
      <c r="N2" s="49"/>
    </row>
    <row r="3" spans="1:17" x14ac:dyDescent="0.2">
      <c r="A3" s="85">
        <v>2</v>
      </c>
      <c r="B3" s="82" t="s">
        <v>47</v>
      </c>
      <c r="C3" s="84">
        <v>59.947839632988142</v>
      </c>
      <c r="D3" s="84">
        <v>39.5</v>
      </c>
      <c r="E3" s="84">
        <v>99.447839632988149</v>
      </c>
      <c r="G3" s="49"/>
      <c r="I3" s="49"/>
      <c r="N3" s="49"/>
    </row>
    <row r="4" spans="1:17" x14ac:dyDescent="0.2">
      <c r="A4" s="83">
        <v>3</v>
      </c>
      <c r="B4" s="86" t="s">
        <v>37</v>
      </c>
      <c r="C4" s="84">
        <v>59.32832008797056</v>
      </c>
      <c r="D4" s="84">
        <v>39.5</v>
      </c>
      <c r="E4" s="87">
        <v>98.828320087970553</v>
      </c>
      <c r="F4" s="51"/>
      <c r="G4" s="50"/>
      <c r="H4" s="51"/>
      <c r="I4" s="50"/>
      <c r="J4" s="51"/>
      <c r="K4" s="51"/>
      <c r="L4" s="51"/>
      <c r="M4" s="51"/>
      <c r="N4" s="50"/>
      <c r="O4" s="51"/>
      <c r="P4" s="51"/>
    </row>
    <row r="5" spans="1:17" x14ac:dyDescent="0.2">
      <c r="A5" s="85">
        <v>4</v>
      </c>
      <c r="B5" s="82" t="s">
        <v>41</v>
      </c>
      <c r="C5" s="84">
        <v>59.045742295502428</v>
      </c>
      <c r="D5" s="84">
        <v>39.5</v>
      </c>
      <c r="E5" s="84">
        <v>98.545742295502436</v>
      </c>
      <c r="F5" s="52"/>
      <c r="H5" s="52"/>
      <c r="J5" s="52"/>
      <c r="K5" s="52"/>
      <c r="L5" s="52"/>
      <c r="M5" s="52"/>
      <c r="O5" s="52"/>
      <c r="P5" s="52"/>
    </row>
    <row r="6" spans="1:17" x14ac:dyDescent="0.2">
      <c r="A6" s="83">
        <v>5</v>
      </c>
      <c r="B6" s="82" t="s">
        <v>33</v>
      </c>
      <c r="C6" s="87">
        <v>58.824187711524893</v>
      </c>
      <c r="D6" s="84">
        <v>39.5</v>
      </c>
      <c r="E6" s="84">
        <v>98.3241877115249</v>
      </c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</row>
    <row r="7" spans="1:17" x14ac:dyDescent="0.2">
      <c r="A7" s="85">
        <v>6</v>
      </c>
      <c r="B7" s="82" t="s">
        <v>49</v>
      </c>
      <c r="C7" s="84">
        <v>58.723614963200397</v>
      </c>
      <c r="D7" s="84">
        <v>39.25</v>
      </c>
      <c r="E7" s="84">
        <v>97.97361496320039</v>
      </c>
      <c r="F7" s="52"/>
      <c r="H7" s="52"/>
      <c r="J7" s="52"/>
      <c r="K7" s="52"/>
      <c r="L7" s="52"/>
      <c r="M7" s="52"/>
      <c r="O7" s="52"/>
      <c r="P7" s="52"/>
    </row>
    <row r="8" spans="1:17" x14ac:dyDescent="0.2">
      <c r="A8" s="83">
        <v>7</v>
      </c>
      <c r="B8" s="82" t="s">
        <v>46</v>
      </c>
      <c r="C8" s="84">
        <v>58.317649907070574</v>
      </c>
      <c r="D8" s="84">
        <v>39.5</v>
      </c>
      <c r="E8" s="84">
        <v>97.817649907070574</v>
      </c>
    </row>
    <row r="9" spans="1:17" x14ac:dyDescent="0.2">
      <c r="A9" s="85">
        <v>8</v>
      </c>
      <c r="B9" s="82" t="s">
        <v>39</v>
      </c>
      <c r="C9" s="84">
        <v>57.595960384565224</v>
      </c>
      <c r="D9" s="84">
        <v>39.5</v>
      </c>
      <c r="E9" s="84">
        <v>97.095960384565217</v>
      </c>
    </row>
    <row r="10" spans="1:17" x14ac:dyDescent="0.2">
      <c r="A10" s="83">
        <v>9</v>
      </c>
      <c r="B10" s="82" t="s">
        <v>50</v>
      </c>
      <c r="C10" s="84">
        <v>49.670310595961048</v>
      </c>
      <c r="D10" s="84">
        <v>39.25</v>
      </c>
      <c r="E10" s="84">
        <v>88.920310595961041</v>
      </c>
    </row>
    <row r="11" spans="1:17" x14ac:dyDescent="0.2">
      <c r="A11" s="85">
        <v>10</v>
      </c>
      <c r="B11" s="82" t="s">
        <v>45</v>
      </c>
      <c r="C11" s="84">
        <v>60.354356564965471</v>
      </c>
      <c r="D11" s="84">
        <v>19.5</v>
      </c>
      <c r="E11" s="84">
        <v>79.854356564965471</v>
      </c>
    </row>
    <row r="12" spans="1:17" x14ac:dyDescent="0.2">
      <c r="A12" s="83">
        <v>11</v>
      </c>
      <c r="B12" s="82" t="s">
        <v>34</v>
      </c>
      <c r="C12" s="84">
        <v>59.513699548758758</v>
      </c>
      <c r="D12" s="84">
        <v>19.5</v>
      </c>
      <c r="E12" s="84">
        <v>79.013699548758751</v>
      </c>
    </row>
    <row r="13" spans="1:17" x14ac:dyDescent="0.2">
      <c r="A13" s="83">
        <v>12</v>
      </c>
      <c r="B13" s="82" t="s">
        <v>52</v>
      </c>
      <c r="C13" s="84">
        <v>58.262967280980796</v>
      </c>
      <c r="D13" s="84">
        <v>19.25</v>
      </c>
      <c r="E13" s="84">
        <v>77.512967280980803</v>
      </c>
    </row>
    <row r="15" spans="1:17" x14ac:dyDescent="0.2">
      <c r="A15" s="52"/>
    </row>
    <row r="16" spans="1:17" x14ac:dyDescent="0.2">
      <c r="A16" s="53"/>
    </row>
    <row r="17" spans="1:16" x14ac:dyDescent="0.2">
      <c r="A17" s="51"/>
      <c r="B17" s="52"/>
      <c r="C17" s="51"/>
      <c r="D17" s="51"/>
    </row>
    <row r="18" spans="1:16" ht="15" x14ac:dyDescent="0.2">
      <c r="A18" s="56"/>
      <c r="E18" s="52"/>
      <c r="F18" s="52"/>
      <c r="G18" s="52"/>
      <c r="H18" s="52"/>
      <c r="I18" s="52"/>
      <c r="J18" s="52"/>
      <c r="K18" s="55"/>
      <c r="L18" s="52"/>
      <c r="M18" s="52"/>
      <c r="N18" s="54"/>
      <c r="O18" s="55"/>
      <c r="P18" s="52"/>
    </row>
    <row r="20" spans="1:16" x14ac:dyDescent="0.2">
      <c r="A20" s="52"/>
      <c r="B20" s="52"/>
      <c r="C20" s="52"/>
      <c r="D20" s="52"/>
    </row>
    <row r="24" spans="1:16" x14ac:dyDescent="0.2">
      <c r="D24" s="49"/>
    </row>
    <row r="25" spans="1:16" x14ac:dyDescent="0.2">
      <c r="D25" s="49"/>
    </row>
    <row r="26" spans="1:16" x14ac:dyDescent="0.2">
      <c r="A26" s="51"/>
      <c r="B26" s="51"/>
      <c r="C26" s="51"/>
      <c r="D26" s="50"/>
    </row>
    <row r="27" spans="1:16" x14ac:dyDescent="0.2">
      <c r="A27" s="52"/>
      <c r="B27" s="52"/>
      <c r="C27" s="52"/>
    </row>
    <row r="28" spans="1:16" x14ac:dyDescent="0.2">
      <c r="A28" s="52"/>
      <c r="B28" s="52"/>
      <c r="C28" s="52"/>
      <c r="D28" s="52"/>
    </row>
  </sheetData>
  <sortState ref="A2:D28">
    <sortCondition descending="1" ref="D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UNITARIOS (MAX 60 PTS)</vt:lpstr>
      <vt:lpstr>Puntaje Adicional (MAX 40 PTS)</vt:lpstr>
      <vt:lpstr>TOTAL</vt:lpstr>
      <vt:lpstr>ORDEN DE ELEGIBILIDAD</vt:lpstr>
      <vt:lpstr>'Puntaje Adicional (MAX 40 PTS)'!Área_de_impresión</vt:lpstr>
      <vt:lpstr>TOTAL!Área_de_impresión</vt:lpstr>
      <vt:lpstr>'UNITARIOS (MAX 60 PTS)'!Área_de_impresión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Rocha</dc:creator>
  <cp:lastModifiedBy>Juan Jose Londoño</cp:lastModifiedBy>
  <dcterms:created xsi:type="dcterms:W3CDTF">2017-12-11T20:07:42Z</dcterms:created>
  <dcterms:modified xsi:type="dcterms:W3CDTF">2023-12-13T01:50:10Z</dcterms:modified>
</cp:coreProperties>
</file>