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OFERTAS MALLA VIAL 2019\VERIFICACION PRELIMINAR\PRELIMINAR TECNICA\"/>
    </mc:Choice>
  </mc:AlternateContent>
  <bookViews>
    <workbookView xWindow="-120" yWindow="-120" windowWidth="20730" windowHeight="11160" tabRatio="801" activeTab="3"/>
  </bookViews>
  <sheets>
    <sheet name="RESUMEN EVALUACION " sheetId="69" r:id="rId1"/>
    <sheet name="CONSOLIDADO KR" sheetId="25" r:id="rId2"/>
    <sheet name="PROPONENTE 1" sheetId="37" r:id="rId3"/>
    <sheet name="PROPONENTE 2" sheetId="38" r:id="rId4"/>
    <sheet name="PROPONENTE 3" sheetId="39" r:id="rId5"/>
    <sheet name="PROPONENTE 4" sheetId="40" r:id="rId6"/>
    <sheet name="PROPONENTE 5" sheetId="41" r:id="rId7"/>
    <sheet name="PROPONENTE 6" sheetId="64" r:id="rId8"/>
    <sheet name="PROPONENTE 7" sheetId="65" r:id="rId9"/>
    <sheet name="PROPONENTE 8" sheetId="66" r:id="rId10"/>
    <sheet name="PROPONENTE 9" sheetId="67" r:id="rId11"/>
    <sheet name="PROPONENTE 10" sheetId="68" r:id="rId12"/>
    <sheet name="PROPONENTE 11" sheetId="31" r:id="rId13"/>
    <sheet name="PROPONENTE 12" sheetId="35" r:id="rId14"/>
    <sheet name="PROPONENTE 13" sheetId="33" r:id="rId15"/>
    <sheet name="PROPONENTE 14" sheetId="32" r:id="rId16"/>
    <sheet name="PROPONENTE 15" sheetId="36" r:id="rId17"/>
    <sheet name="PROPONENTE 17" sheetId="55" r:id="rId18"/>
    <sheet name="PROPONENTE 18" sheetId="56" r:id="rId19"/>
    <sheet name="PROPONENTE 19" sheetId="57" r:id="rId20"/>
    <sheet name="PROPONENTE 20" sheetId="58" r:id="rId21"/>
    <sheet name="PROPONENTE 21" sheetId="59" r:id="rId22"/>
    <sheet name="PROPONENTE 22" sheetId="60" r:id="rId23"/>
    <sheet name="PROPONENTE 23" sheetId="61" r:id="rId24"/>
    <sheet name="PROPONENTE 24" sheetId="62" r:id="rId25"/>
    <sheet name="PROPONENTE 25" sheetId="63" r:id="rId26"/>
    <sheet name="PROPONENTE 26" sheetId="46" r:id="rId27"/>
    <sheet name="PROPONENTE 27" sheetId="47" r:id="rId28"/>
    <sheet name="PROPONENTE 28" sheetId="48" r:id="rId29"/>
    <sheet name="PROPONENTE 29" sheetId="49" r:id="rId30"/>
    <sheet name="PROPONENTE 30" sheetId="50" r:id="rId31"/>
    <sheet name="PROPONENTE 31" sheetId="51" r:id="rId32"/>
    <sheet name="PROPONENTE 32" sheetId="52" r:id="rId33"/>
    <sheet name="PROPONENTE 33" sheetId="53" r:id="rId34"/>
    <sheet name="PROPONENTE 34" sheetId="54" r:id="rId35"/>
    <sheet name="PROPONENTE 35" sheetId="42" r:id="rId36"/>
    <sheet name="PROPONENTE 36" sheetId="43" r:id="rId37"/>
    <sheet name="PROPONENTE 37" sheetId="44" r:id="rId38"/>
    <sheet name="PROPONENTE 38" sheetId="45" r:id="rId39"/>
    <sheet name="REQUISITOS PONDERABLES " sheetId="30" r:id="rId40"/>
  </sheets>
  <externalReferences>
    <externalReference r:id="rId41"/>
  </externalReferences>
  <definedNames>
    <definedName name="_xlnm._FilterDatabase" localSheetId="0" hidden="1">'RESUMEN EVALUACION '!$C$2:$C$46</definedName>
    <definedName name="_xlnm.Print_Area" localSheetId="2">'PROPONENTE 1'!$A$1:$I$34</definedName>
    <definedName name="_xlnm.Print_Area" localSheetId="11">'PROPONENTE 10'!$A$1:$I$34</definedName>
    <definedName name="_xlnm.Print_Area" localSheetId="12">'PROPONENTE 11'!$A$1:$I$39</definedName>
    <definedName name="_xlnm.Print_Area" localSheetId="13">'PROPONENTE 12'!$A$1:$I$39</definedName>
    <definedName name="_xlnm.Print_Area" localSheetId="14">'PROPONENTE 13'!$A$1:$I$39</definedName>
    <definedName name="_xlnm.Print_Area" localSheetId="15">'PROPONENTE 14'!$A$1:$I$39</definedName>
    <definedName name="_xlnm.Print_Area" localSheetId="16">'PROPONENTE 15'!$A$1:$I$39</definedName>
    <definedName name="_xlnm.Print_Area" localSheetId="17">'PROPONENTE 17'!$A$1:$I$34</definedName>
    <definedName name="_xlnm.Print_Area" localSheetId="18">'PROPONENTE 18'!$A$1:$I$33</definedName>
    <definedName name="_xlnm.Print_Area" localSheetId="19">'PROPONENTE 19'!$A$1:$I$35</definedName>
    <definedName name="_xlnm.Print_Area" localSheetId="3">'PROPONENTE 2'!$A$1:$I$36</definedName>
    <definedName name="_xlnm.Print_Area" localSheetId="20">'PROPONENTE 20'!$A$1:$I$32</definedName>
    <definedName name="_xlnm.Print_Area" localSheetId="21">'PROPONENTE 21'!$A$1:$I$33</definedName>
    <definedName name="_xlnm.Print_Area" localSheetId="22">'PROPONENTE 22'!$A$1:$I$33</definedName>
    <definedName name="_xlnm.Print_Area" localSheetId="23">'PROPONENTE 23'!$A$1:$I$33</definedName>
    <definedName name="_xlnm.Print_Area" localSheetId="24">'PROPONENTE 24'!$A$1:$I$37</definedName>
    <definedName name="_xlnm.Print_Area" localSheetId="25">'PROPONENTE 25'!$A$1:$I$35</definedName>
    <definedName name="_xlnm.Print_Area" localSheetId="26">'PROPONENTE 26'!$A$1:$I$36</definedName>
    <definedName name="_xlnm.Print_Area" localSheetId="27">'PROPONENTE 27'!$A$1:$I$38</definedName>
    <definedName name="_xlnm.Print_Area" localSheetId="28">'PROPONENTE 28'!$A$1:$I$36</definedName>
    <definedName name="_xlnm.Print_Area" localSheetId="29">'PROPONENTE 29'!$A$1:$I$35</definedName>
    <definedName name="_xlnm.Print_Area" localSheetId="4">'PROPONENTE 3'!$A$1:$I$34</definedName>
    <definedName name="_xlnm.Print_Area" localSheetId="30">'PROPONENTE 30'!$A$1:$I$35</definedName>
    <definedName name="_xlnm.Print_Area" localSheetId="31">'PROPONENTE 31'!$A$1:$I$35</definedName>
    <definedName name="_xlnm.Print_Area" localSheetId="32">'PROPONENTE 32'!$A$1:$I$35</definedName>
    <definedName name="_xlnm.Print_Area" localSheetId="33">'PROPONENTE 33'!$A$1:$I$36</definedName>
    <definedName name="_xlnm.Print_Area" localSheetId="34">'PROPONENTE 34'!$A$1:$I$35</definedName>
    <definedName name="_xlnm.Print_Area" localSheetId="35">'PROPONENTE 35'!$A$1:$I$36</definedName>
    <definedName name="_xlnm.Print_Area" localSheetId="36">'PROPONENTE 36'!$A$1:$I$36</definedName>
    <definedName name="_xlnm.Print_Area" localSheetId="37">'PROPONENTE 37'!$A$1:$I$36</definedName>
    <definedName name="_xlnm.Print_Area" localSheetId="38">'PROPONENTE 38'!$A$1:$I$36</definedName>
    <definedName name="_xlnm.Print_Area" localSheetId="5">'PROPONENTE 4'!$A$1:$I$34</definedName>
    <definedName name="_xlnm.Print_Area" localSheetId="6">'PROPONENTE 5'!$A$1:$I$36</definedName>
    <definedName name="_xlnm.Print_Area" localSheetId="7">'PROPONENTE 6'!$A$1:$I$35</definedName>
    <definedName name="_xlnm.Print_Area" localSheetId="8">'PROPONENTE 7'!$A$1:$I$35</definedName>
    <definedName name="_xlnm.Print_Area" localSheetId="9">'PROPONENTE 8'!$A$1:$I$35</definedName>
    <definedName name="_xlnm.Print_Area" localSheetId="10">'PROPONENTE 9'!$A$1:$I$35</definedName>
    <definedName name="_xlnm.Print_Titles" localSheetId="1">'CONSOLIDADO KR'!$1:$6</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20" i="68" l="1"/>
  <c r="G19" i="68"/>
  <c r="G18" i="68"/>
  <c r="G20" i="68" s="1"/>
  <c r="G21" i="68" s="1"/>
  <c r="C14" i="68"/>
  <c r="D14" i="68" s="1"/>
  <c r="D13" i="68"/>
  <c r="C13" i="68"/>
  <c r="C12" i="68"/>
  <c r="D12" i="68" s="1"/>
  <c r="D11" i="68"/>
  <c r="F24" i="67"/>
  <c r="G23" i="67"/>
  <c r="G24" i="67" s="1"/>
  <c r="G25" i="67" s="1"/>
  <c r="G22" i="67"/>
  <c r="G21" i="67"/>
  <c r="G20" i="67"/>
  <c r="G19" i="67"/>
  <c r="G18" i="67"/>
  <c r="C14" i="67"/>
  <c r="D14" i="67" s="1"/>
  <c r="D13" i="67"/>
  <c r="C13" i="67"/>
  <c r="C12" i="67"/>
  <c r="D12" i="67" s="1"/>
  <c r="D11" i="67"/>
  <c r="F24" i="66"/>
  <c r="G22" i="66"/>
  <c r="F21" i="66"/>
  <c r="G21" i="66" s="1"/>
  <c r="G20" i="66"/>
  <c r="F19" i="66"/>
  <c r="G19" i="66" s="1"/>
  <c r="G24" i="66" s="1"/>
  <c r="G25" i="66" s="1"/>
  <c r="G18" i="66"/>
  <c r="C14" i="66"/>
  <c r="D14" i="66" s="1"/>
  <c r="C13" i="66"/>
  <c r="D13" i="66" s="1"/>
  <c r="C12" i="66"/>
  <c r="D12" i="66" s="1"/>
  <c r="D11" i="66"/>
  <c r="F24" i="65"/>
  <c r="G20" i="65"/>
  <c r="G19" i="65"/>
  <c r="G24" i="65" s="1"/>
  <c r="G25" i="65" s="1"/>
  <c r="G18" i="65"/>
  <c r="C14" i="65"/>
  <c r="D14" i="65" s="1"/>
  <c r="C13" i="65"/>
  <c r="D13" i="65" s="1"/>
  <c r="C12" i="65"/>
  <c r="D12" i="65" s="1"/>
  <c r="D11" i="65"/>
  <c r="F24" i="64"/>
  <c r="G20" i="64"/>
  <c r="G19" i="64"/>
  <c r="G18" i="64"/>
  <c r="G24" i="64" s="1"/>
  <c r="G25" i="64" s="1"/>
  <c r="C14" i="64"/>
  <c r="D14" i="64" s="1"/>
  <c r="C13" i="64"/>
  <c r="D13" i="64" s="1"/>
  <c r="C12" i="64"/>
  <c r="D12" i="64" s="1"/>
  <c r="D11" i="64"/>
  <c r="F22" i="63" l="1"/>
  <c r="G22" i="63" s="1"/>
  <c r="F21" i="63"/>
  <c r="G21" i="63" s="1"/>
  <c r="G20" i="63"/>
  <c r="F20" i="63"/>
  <c r="F24" i="63" s="1"/>
  <c r="G19" i="63"/>
  <c r="G24" i="63" s="1"/>
  <c r="G25" i="63" s="1"/>
  <c r="C15" i="63"/>
  <c r="D15" i="63" s="1"/>
  <c r="D14" i="63"/>
  <c r="C14" i="63"/>
  <c r="C13" i="63"/>
  <c r="D13" i="63" s="1"/>
  <c r="D12" i="63"/>
  <c r="G24" i="62"/>
  <c r="G23" i="62"/>
  <c r="G22" i="62"/>
  <c r="G21" i="62"/>
  <c r="F20" i="62"/>
  <c r="G20" i="62" s="1"/>
  <c r="F19" i="62"/>
  <c r="G19" i="62" s="1"/>
  <c r="G26" i="62" s="1"/>
  <c r="G27" i="62" s="1"/>
  <c r="D15" i="62"/>
  <c r="C15" i="62"/>
  <c r="C14" i="62"/>
  <c r="D14" i="62" s="1"/>
  <c r="C13" i="62"/>
  <c r="D13" i="62" s="1"/>
  <c r="D12" i="62"/>
  <c r="F22" i="61"/>
  <c r="G20" i="61"/>
  <c r="G19" i="61"/>
  <c r="G22" i="61" s="1"/>
  <c r="G23" i="61" s="1"/>
  <c r="F19" i="61"/>
  <c r="C15" i="61"/>
  <c r="D15" i="61" s="1"/>
  <c r="C14" i="61"/>
  <c r="D14" i="61" s="1"/>
  <c r="C13" i="61"/>
  <c r="D13" i="61" s="1"/>
  <c r="D12" i="61"/>
  <c r="F20" i="60"/>
  <c r="G20" i="60" s="1"/>
  <c r="F19" i="60"/>
  <c r="F22" i="60" s="1"/>
  <c r="D15" i="60"/>
  <c r="C15" i="60"/>
  <c r="C14" i="60"/>
  <c r="D14" i="60" s="1"/>
  <c r="C13" i="60"/>
  <c r="D13" i="60" s="1"/>
  <c r="D12" i="60"/>
  <c r="G22" i="59"/>
  <c r="G23" i="59" s="1"/>
  <c r="F22" i="59"/>
  <c r="G20" i="59"/>
  <c r="G19" i="59"/>
  <c r="F19" i="59"/>
  <c r="D15" i="59"/>
  <c r="C15" i="59"/>
  <c r="C14" i="59"/>
  <c r="D14" i="59" s="1"/>
  <c r="C13" i="59"/>
  <c r="D13" i="59" s="1"/>
  <c r="D12" i="59"/>
  <c r="F19" i="58"/>
  <c r="F21" i="58" s="1"/>
  <c r="C15" i="58"/>
  <c r="D15" i="58" s="1"/>
  <c r="D14" i="58"/>
  <c r="C14" i="58"/>
  <c r="D13" i="58"/>
  <c r="C13" i="58"/>
  <c r="D12" i="58"/>
  <c r="F24" i="57"/>
  <c r="G22" i="57"/>
  <c r="G21" i="57"/>
  <c r="G20" i="57"/>
  <c r="G19" i="57"/>
  <c r="G24" i="57" s="1"/>
  <c r="G25" i="57" s="1"/>
  <c r="C15" i="57"/>
  <c r="D15" i="57" s="1"/>
  <c r="C14" i="57"/>
  <c r="D14" i="57" s="1"/>
  <c r="C13" i="57"/>
  <c r="D13" i="57" s="1"/>
  <c r="D12" i="57"/>
  <c r="G22" i="56"/>
  <c r="G23" i="56" s="1"/>
  <c r="F22" i="56"/>
  <c r="G20" i="56"/>
  <c r="G19" i="56"/>
  <c r="C15" i="56"/>
  <c r="D15" i="56" s="1"/>
  <c r="D14" i="56"/>
  <c r="C14" i="56"/>
  <c r="C13" i="56"/>
  <c r="D13" i="56" s="1"/>
  <c r="D12" i="56"/>
  <c r="F23" i="55"/>
  <c r="G21" i="55"/>
  <c r="G23" i="55" s="1"/>
  <c r="G24" i="55" s="1"/>
  <c r="G20" i="55"/>
  <c r="G19" i="55"/>
  <c r="D15" i="55"/>
  <c r="C15" i="55"/>
  <c r="C14" i="55"/>
  <c r="D14" i="55" s="1"/>
  <c r="C13" i="55"/>
  <c r="D13" i="55" s="1"/>
  <c r="D12" i="55"/>
  <c r="G19" i="58" l="1"/>
  <c r="G21" i="58" s="1"/>
  <c r="G22" i="58" s="1"/>
  <c r="G19" i="60"/>
  <c r="G22" i="60" s="1"/>
  <c r="G23" i="60" s="1"/>
  <c r="F26" i="62"/>
  <c r="F22" i="54" l="1"/>
  <c r="G22" i="54" s="1"/>
  <c r="F21" i="54"/>
  <c r="G21" i="54" s="1"/>
  <c r="G20" i="54"/>
  <c r="F20" i="54"/>
  <c r="F19" i="54"/>
  <c r="G19" i="54" s="1"/>
  <c r="G24" i="54" s="1"/>
  <c r="G25" i="54" s="1"/>
  <c r="C15" i="54"/>
  <c r="D15" i="54" s="1"/>
  <c r="C14" i="54"/>
  <c r="D14" i="54" s="1"/>
  <c r="D13" i="54"/>
  <c r="C13" i="54"/>
  <c r="D12" i="54"/>
  <c r="F24" i="53"/>
  <c r="G24" i="53" s="1"/>
  <c r="G23" i="53"/>
  <c r="F23" i="53"/>
  <c r="F22" i="53"/>
  <c r="G22" i="53" s="1"/>
  <c r="F21" i="53"/>
  <c r="G21" i="53" s="1"/>
  <c r="F20" i="53"/>
  <c r="F25" i="53" s="1"/>
  <c r="D16" i="53"/>
  <c r="C16" i="53"/>
  <c r="C15" i="53"/>
  <c r="D15" i="53" s="1"/>
  <c r="C14" i="53"/>
  <c r="D14" i="53" s="1"/>
  <c r="D13" i="53"/>
  <c r="F20" i="52"/>
  <c r="G20" i="52" s="1"/>
  <c r="F19" i="52"/>
  <c r="F24" i="52" s="1"/>
  <c r="C15" i="52"/>
  <c r="D15" i="52" s="1"/>
  <c r="C14" i="52"/>
  <c r="D14" i="52" s="1"/>
  <c r="C13" i="52"/>
  <c r="D13" i="52" s="1"/>
  <c r="D12" i="52"/>
  <c r="F24" i="51"/>
  <c r="G23" i="51"/>
  <c r="F23" i="51"/>
  <c r="G22" i="51"/>
  <c r="G20" i="51"/>
  <c r="F20" i="51"/>
  <c r="F19" i="51"/>
  <c r="G19" i="51" s="1"/>
  <c r="G24" i="51" s="1"/>
  <c r="G25" i="51" s="1"/>
  <c r="C15" i="51"/>
  <c r="D15" i="51" s="1"/>
  <c r="C14" i="51"/>
  <c r="D14" i="51" s="1"/>
  <c r="D13" i="51"/>
  <c r="C13" i="51"/>
  <c r="D12" i="51"/>
  <c r="F24" i="50"/>
  <c r="F23" i="50"/>
  <c r="G23" i="50" s="1"/>
  <c r="G22" i="50"/>
  <c r="F21" i="50"/>
  <c r="G21" i="50" s="1"/>
  <c r="F20" i="50"/>
  <c r="G20" i="50" s="1"/>
  <c r="G19" i="50"/>
  <c r="G24" i="50" s="1"/>
  <c r="G25" i="50" s="1"/>
  <c r="F19" i="50"/>
  <c r="C15" i="50"/>
  <c r="D15" i="50" s="1"/>
  <c r="C14" i="50"/>
  <c r="D14" i="50" s="1"/>
  <c r="C13" i="50"/>
  <c r="D13" i="50" s="1"/>
  <c r="D12" i="50"/>
  <c r="G23" i="49"/>
  <c r="F23" i="49"/>
  <c r="F22" i="49"/>
  <c r="G22" i="49" s="1"/>
  <c r="G21" i="49"/>
  <c r="F21" i="49"/>
  <c r="F20" i="49"/>
  <c r="G20" i="49" s="1"/>
  <c r="G19" i="49"/>
  <c r="F19" i="49"/>
  <c r="C15" i="49"/>
  <c r="D15" i="49" s="1"/>
  <c r="D14" i="49"/>
  <c r="C14" i="49"/>
  <c r="C13" i="49"/>
  <c r="D13" i="49" s="1"/>
  <c r="D12" i="49"/>
  <c r="F25" i="48"/>
  <c r="G21" i="48"/>
  <c r="F21" i="48"/>
  <c r="F20" i="48"/>
  <c r="G20" i="48" s="1"/>
  <c r="G25" i="48" s="1"/>
  <c r="G26" i="48" s="1"/>
  <c r="D16" i="48"/>
  <c r="C16" i="48"/>
  <c r="C15" i="48"/>
  <c r="D15" i="48" s="1"/>
  <c r="D14" i="48"/>
  <c r="C14" i="48"/>
  <c r="D13" i="48"/>
  <c r="F23" i="47"/>
  <c r="G23" i="47" s="1"/>
  <c r="C23" i="47"/>
  <c r="F22" i="47"/>
  <c r="G22" i="47" s="1"/>
  <c r="C22" i="47"/>
  <c r="F21" i="47"/>
  <c r="G21" i="47" s="1"/>
  <c r="F20" i="47"/>
  <c r="G20" i="47" s="1"/>
  <c r="C20" i="47"/>
  <c r="F19" i="47"/>
  <c r="G19" i="47" s="1"/>
  <c r="C19" i="47"/>
  <c r="C15" i="47"/>
  <c r="D15" i="47" s="1"/>
  <c r="C14" i="47"/>
  <c r="D14" i="47" s="1"/>
  <c r="D13" i="47"/>
  <c r="C13" i="47"/>
  <c r="D12" i="47"/>
  <c r="F25" i="46"/>
  <c r="G20" i="46"/>
  <c r="G19" i="46"/>
  <c r="G25" i="46" s="1"/>
  <c r="G26" i="46" s="1"/>
  <c r="C19" i="46"/>
  <c r="C15" i="46"/>
  <c r="D15" i="46" s="1"/>
  <c r="D14" i="46"/>
  <c r="C14" i="46"/>
  <c r="C13" i="46"/>
  <c r="D13" i="46" s="1"/>
  <c r="D12" i="46"/>
  <c r="G27" i="47" l="1"/>
  <c r="G28" i="47" s="1"/>
  <c r="G24" i="49"/>
  <c r="G25" i="49" s="1"/>
  <c r="G20" i="53"/>
  <c r="G25" i="53" s="1"/>
  <c r="G26" i="53" s="1"/>
  <c r="F27" i="47"/>
  <c r="G19" i="52"/>
  <c r="G24" i="52" s="1"/>
  <c r="G25" i="52" s="1"/>
  <c r="F24" i="49"/>
  <c r="F24" i="54"/>
  <c r="F25" i="45" l="1"/>
  <c r="G20" i="45"/>
  <c r="G19" i="45"/>
  <c r="G25" i="45" s="1"/>
  <c r="G26" i="45" s="1"/>
  <c r="C15" i="45"/>
  <c r="D15" i="45" s="1"/>
  <c r="D14" i="45"/>
  <c r="C14" i="45"/>
  <c r="C13" i="45"/>
  <c r="D13" i="45" s="1"/>
  <c r="D12" i="45"/>
  <c r="F25" i="44"/>
  <c r="G21" i="44"/>
  <c r="G25" i="44" s="1"/>
  <c r="G26" i="44" s="1"/>
  <c r="G20" i="44"/>
  <c r="G19" i="44"/>
  <c r="C15" i="44"/>
  <c r="D15" i="44" s="1"/>
  <c r="C14" i="44"/>
  <c r="D14" i="44" s="1"/>
  <c r="C13" i="44"/>
  <c r="D13" i="44" s="1"/>
  <c r="D12" i="44"/>
  <c r="F25" i="43"/>
  <c r="G22" i="43"/>
  <c r="G21" i="43"/>
  <c r="G20" i="43"/>
  <c r="G19" i="43"/>
  <c r="G25" i="43" s="1"/>
  <c r="G26" i="43" s="1"/>
  <c r="C15" i="43"/>
  <c r="D15" i="43" s="1"/>
  <c r="D14" i="43"/>
  <c r="C14" i="43"/>
  <c r="C13" i="43"/>
  <c r="D13" i="43" s="1"/>
  <c r="D12" i="43"/>
  <c r="F25" i="42"/>
  <c r="G20" i="42"/>
  <c r="G19" i="42"/>
  <c r="G25" i="42" s="1"/>
  <c r="G26" i="42" s="1"/>
  <c r="C15" i="42"/>
  <c r="D15" i="42" s="1"/>
  <c r="C14" i="42"/>
  <c r="D14" i="42" s="1"/>
  <c r="C13" i="42"/>
  <c r="D13" i="42" s="1"/>
  <c r="D12" i="42"/>
  <c r="F25" i="41" l="1"/>
  <c r="G23" i="41"/>
  <c r="G22" i="41"/>
  <c r="G21" i="41"/>
  <c r="G20" i="41"/>
  <c r="G19" i="41"/>
  <c r="G25" i="41" s="1"/>
  <c r="G26" i="41" s="1"/>
  <c r="C15" i="41"/>
  <c r="D15" i="41" s="1"/>
  <c r="C14" i="41"/>
  <c r="D14" i="41" s="1"/>
  <c r="C13" i="41"/>
  <c r="D13" i="41" s="1"/>
  <c r="D12" i="41"/>
  <c r="F23" i="40"/>
  <c r="G20" i="40"/>
  <c r="G19" i="40"/>
  <c r="G23" i="40" s="1"/>
  <c r="G24" i="40" s="1"/>
  <c r="C15" i="40"/>
  <c r="D15" i="40" s="1"/>
  <c r="C14" i="40"/>
  <c r="D14" i="40" s="1"/>
  <c r="C13" i="40"/>
  <c r="D13" i="40" s="1"/>
  <c r="D12" i="40"/>
  <c r="F23" i="39"/>
  <c r="G20" i="39"/>
  <c r="G19" i="39"/>
  <c r="G23" i="39" s="1"/>
  <c r="G24" i="39" s="1"/>
  <c r="C15" i="39"/>
  <c r="D15" i="39" s="1"/>
  <c r="D14" i="39"/>
  <c r="C14" i="39"/>
  <c r="C13" i="39"/>
  <c r="D13" i="39" s="1"/>
  <c r="D12" i="39"/>
  <c r="F25" i="38"/>
  <c r="G22" i="38"/>
  <c r="G21" i="38"/>
  <c r="G20" i="38"/>
  <c r="G19" i="38"/>
  <c r="G25" i="38" s="1"/>
  <c r="G26" i="38" s="1"/>
  <c r="C15" i="38"/>
  <c r="D15" i="38" s="1"/>
  <c r="C14" i="38"/>
  <c r="D14" i="38" s="1"/>
  <c r="C13" i="38"/>
  <c r="D13" i="38" s="1"/>
  <c r="D12" i="38"/>
  <c r="G23" i="37"/>
  <c r="G24" i="37" s="1"/>
  <c r="F23" i="37"/>
  <c r="G20" i="37"/>
  <c r="G19" i="37"/>
  <c r="C15" i="37"/>
  <c r="D15" i="37" s="1"/>
  <c r="C14" i="37"/>
  <c r="D14" i="37" s="1"/>
  <c r="C13" i="37"/>
  <c r="D13" i="37" s="1"/>
  <c r="D12" i="37"/>
  <c r="J22" i="30"/>
  <c r="J21" i="30"/>
  <c r="J20" i="30"/>
  <c r="J19" i="30"/>
  <c r="J18" i="30"/>
  <c r="B18" i="30"/>
  <c r="J55" i="30" l="1"/>
  <c r="J54" i="30"/>
  <c r="J53" i="30"/>
  <c r="J52" i="30"/>
  <c r="J51" i="30"/>
  <c r="J50" i="30"/>
  <c r="J49" i="30"/>
  <c r="J48" i="30"/>
  <c r="J47" i="30"/>
  <c r="J46" i="30"/>
  <c r="J45" i="30"/>
  <c r="J44" i="30"/>
  <c r="J43" i="30"/>
  <c r="J42" i="30"/>
  <c r="J41" i="30"/>
  <c r="J40" i="30"/>
  <c r="J39" i="30"/>
  <c r="J38" i="30"/>
  <c r="J27" i="30"/>
  <c r="J26" i="30"/>
  <c r="J25" i="30"/>
  <c r="J24" i="30"/>
  <c r="J23" i="30"/>
  <c r="J32" i="30"/>
  <c r="J31" i="30"/>
  <c r="J30" i="30"/>
  <c r="J29" i="30"/>
  <c r="J28" i="30"/>
  <c r="G20" i="32" l="1"/>
  <c r="G19" i="32"/>
  <c r="G23" i="31"/>
  <c r="G20" i="36" l="1"/>
  <c r="G19" i="36"/>
  <c r="G20" i="33"/>
  <c r="G19" i="33"/>
  <c r="G25" i="35"/>
  <c r="G20" i="35"/>
  <c r="G21" i="35"/>
  <c r="G22" i="35"/>
  <c r="G19" i="35"/>
  <c r="F25" i="36"/>
  <c r="C15" i="36"/>
  <c r="D15" i="36" s="1"/>
  <c r="C14" i="36"/>
  <c r="D14" i="36" s="1"/>
  <c r="C13" i="36"/>
  <c r="D13" i="36" s="1"/>
  <c r="D12" i="36"/>
  <c r="F25" i="35"/>
  <c r="G26" i="35"/>
  <c r="C15" i="35"/>
  <c r="D15" i="35" s="1"/>
  <c r="C14" i="35"/>
  <c r="D14" i="35" s="1"/>
  <c r="C13" i="35"/>
  <c r="D13" i="35" s="1"/>
  <c r="D12" i="35"/>
  <c r="F25" i="33"/>
  <c r="C15" i="33"/>
  <c r="D15" i="33" s="1"/>
  <c r="C14" i="33"/>
  <c r="D14" i="33" s="1"/>
  <c r="C13" i="33"/>
  <c r="D13" i="33" s="1"/>
  <c r="D12" i="33"/>
  <c r="F25" i="32"/>
  <c r="G25" i="32"/>
  <c r="G26" i="32" s="1"/>
  <c r="D15" i="32"/>
  <c r="C15" i="32"/>
  <c r="C14" i="32"/>
  <c r="D14" i="32" s="1"/>
  <c r="C13" i="32"/>
  <c r="D13" i="32" s="1"/>
  <c r="D12" i="32"/>
  <c r="G24" i="31"/>
  <c r="G25" i="36" l="1"/>
  <c r="G26" i="36" s="1"/>
  <c r="G25" i="33"/>
  <c r="G26" i="33" s="1"/>
  <c r="J34" i="30"/>
  <c r="J35" i="30"/>
  <c r="J36" i="30"/>
  <c r="J37" i="30"/>
  <c r="J33" i="30"/>
  <c r="D12" i="31" l="1"/>
  <c r="F25" i="31" l="1"/>
  <c r="C15" i="31"/>
  <c r="D15" i="31" s="1"/>
  <c r="C14" i="31"/>
  <c r="D14" i="31" s="1"/>
  <c r="C13" i="31"/>
  <c r="D13" i="31" s="1"/>
  <c r="G25" i="31" l="1"/>
  <c r="G26" i="31" l="1"/>
</calcChain>
</file>

<file path=xl/comments1.xml><?xml version="1.0" encoding="utf-8"?>
<comments xmlns="http://schemas.openxmlformats.org/spreadsheetml/2006/main">
  <authors>
    <author>William Numpaque Useche</author>
  </authors>
  <commentList>
    <comment ref="F6" authorId="0" shapeId="0">
      <text>
        <r>
          <rPr>
            <b/>
            <sz val="9"/>
            <color indexed="81"/>
            <rFont val="Tahoma"/>
            <family val="2"/>
          </rPr>
          <t>William Numpaque Useche:</t>
        </r>
        <r>
          <rPr>
            <sz val="9"/>
            <color indexed="81"/>
            <rFont val="Tahoma"/>
            <family val="2"/>
          </rPr>
          <t xml:space="preserve">
(MAYOR INGRESO OPERACIONAL) INGRESOS OPERACIONALES CON FECHA NO MAYOR A 5 AÑOS, SE COLOCA EL VALOR MAYOR DE INGRESOS OPERACIONAL,  SI ES CONSORCIO SE BUSCA PARA CADA INTEGRANTE</t>
        </r>
      </text>
    </comment>
    <comment ref="G6" authorId="0" shapeId="0">
      <text>
        <r>
          <rPr>
            <b/>
            <sz val="9"/>
            <color indexed="81"/>
            <rFont val="Tahoma"/>
            <family val="2"/>
          </rPr>
          <t>William Numpaque Useche:</t>
        </r>
        <r>
          <rPr>
            <sz val="9"/>
            <color indexed="81"/>
            <rFont val="Tahoma"/>
            <family val="2"/>
          </rPr>
          <t xml:space="preserve">
SE BUSCA EN EL RUP, SI ES CONSORCIO SE BUSCA PARA CADA INTEGRANTE</t>
        </r>
      </text>
    </comment>
    <comment ref="H6" authorId="0" shapeId="0">
      <text>
        <r>
          <rPr>
            <b/>
            <sz val="9"/>
            <color indexed="81"/>
            <rFont val="Tahoma"/>
            <family val="2"/>
          </rPr>
          <t>William Numpaque Useche:</t>
        </r>
        <r>
          <rPr>
            <sz val="9"/>
            <color indexed="81"/>
            <rFont val="Tahoma"/>
            <family val="2"/>
          </rPr>
          <t xml:space="preserve">
SE COLOCA ESTA INFORMACION DE ACUERDO AL CERTIFICADO DE CAPACIDAD TECNICA, PARA ESTE CASO ANEXO 2,2, EL PERSONAL QUE SE ENCUENTRA LABORANDO CON EL PROPONENTE</t>
        </r>
      </text>
    </comment>
    <comment ref="I6" authorId="0" shapeId="0">
      <text>
        <r>
          <rPr>
            <b/>
            <sz val="9"/>
            <color indexed="81"/>
            <rFont val="Tahoma"/>
            <family val="2"/>
          </rPr>
          <t>William Numpaque Useche:</t>
        </r>
        <r>
          <rPr>
            <sz val="9"/>
            <color indexed="81"/>
            <rFont val="Tahoma"/>
            <family val="2"/>
          </rPr>
          <t xml:space="preserve">
PARA ESTE CASO SE REVISA EL ANEXO 2, CERT SOBRE CONTRATOS DE OBRA EN EJECUCION, Y SE DILIGENCIA LA HOJA DE INFO CTOS EJEC</t>
        </r>
      </text>
    </comment>
    <comment ref="J6" authorId="0" shapeId="0">
      <text>
        <r>
          <rPr>
            <b/>
            <sz val="9"/>
            <color indexed="81"/>
            <rFont val="Tahoma"/>
            <family val="2"/>
          </rPr>
          <t>William Numpaque Useche:</t>
        </r>
        <r>
          <rPr>
            <sz val="9"/>
            <color indexed="81"/>
            <rFont val="Tahoma"/>
            <family val="2"/>
          </rPr>
          <t xml:space="preserve">
PARA ESTE CASO CASO ANEXO 2,1 CERTIFICACION DE CTOS PARA LA ACREDITACION DE EXP PARA LA CAP RESIDUAL</t>
        </r>
      </text>
    </comment>
  </commentList>
</comments>
</file>

<file path=xl/comments2.xml><?xml version="1.0" encoding="utf-8"?>
<comments xmlns="http://schemas.openxmlformats.org/spreadsheetml/2006/main">
  <authors>
    <author>Maryory Pasachova Sanchez</author>
  </authors>
  <commentList>
    <comment ref="B18" authorId="0" shapeId="0">
      <text>
        <r>
          <rPr>
            <b/>
            <sz val="9"/>
            <color indexed="81"/>
            <rFont val="Tahoma"/>
            <family val="2"/>
          </rPr>
          <t>Maryory Pasachova Sanchez:</t>
        </r>
        <r>
          <rPr>
            <sz val="9"/>
            <color indexed="81"/>
            <rFont val="Tahoma"/>
            <family val="2"/>
          </rPr>
          <t xml:space="preserve">
ESTE DATO SALE FORMATO 3-EXPERIENCIA COLUMNA CONTRATO No.</t>
        </r>
      </text>
    </comment>
    <comment ref="E18" authorId="0" shapeId="0">
      <text>
        <r>
          <rPr>
            <b/>
            <sz val="9"/>
            <color indexed="81"/>
            <rFont val="Tahoma"/>
            <family val="2"/>
          </rPr>
          <t>Maryory Pasachova Sanchez:</t>
        </r>
        <r>
          <rPr>
            <sz val="9"/>
            <color indexed="81"/>
            <rFont val="Tahoma"/>
            <family val="2"/>
          </rPr>
          <t xml:space="preserve">
se debe revisar el objeto del contrato en el fomrato 3, para verificar que se cumplan las 4 condiciones enunciadas en los pliegos tipo, se deben verificar las actas de recibo o terminacion o liauidacion que se aporte, donde se puedan evidenciar las actividades que tengan que ver con los 4 requisitos</t>
        </r>
      </text>
    </comment>
  </commentList>
</comments>
</file>

<file path=xl/comments3.xml><?xml version="1.0" encoding="utf-8"?>
<comments xmlns="http://schemas.openxmlformats.org/spreadsheetml/2006/main">
  <authors>
    <author>Maryory Pasachova Sanchez</author>
  </authors>
  <commentList>
    <comment ref="F18" authorId="0" shapeId="0">
      <text>
        <r>
          <rPr>
            <b/>
            <sz val="9"/>
            <color indexed="81"/>
            <rFont val="Tahoma"/>
            <family val="2"/>
          </rPr>
          <t>Maryory Pasachova Sanchez:</t>
        </r>
        <r>
          <rPr>
            <sz val="9"/>
            <color indexed="81"/>
            <rFont val="Tahoma"/>
            <family val="2"/>
          </rPr>
          <t xml:space="preserve">
de acuerdo al rup y se afecta por el % de participacion que relacione en formato 3</t>
        </r>
      </text>
    </comment>
  </commentList>
</comments>
</file>

<file path=xl/comments4.xml><?xml version="1.0" encoding="utf-8"?>
<comments xmlns="http://schemas.openxmlformats.org/spreadsheetml/2006/main">
  <authors>
    <author>Maryory Pasachova Sanchez</author>
  </authors>
  <commentList>
    <comment ref="F19" authorId="0" shapeId="0">
      <text>
        <r>
          <rPr>
            <b/>
            <sz val="9"/>
            <color indexed="81"/>
            <rFont val="Tahoma"/>
            <family val="2"/>
          </rPr>
          <t>Maryory Pasachova Sanchez:</t>
        </r>
        <r>
          <rPr>
            <sz val="9"/>
            <color indexed="81"/>
            <rFont val="Tahoma"/>
            <family val="2"/>
          </rPr>
          <t xml:space="preserve">
de acuerdo al rup y se afecta por el % de participacion que relacione en formato 3</t>
        </r>
      </text>
    </comment>
  </commentList>
</comments>
</file>

<file path=xl/comments5.xml><?xml version="1.0" encoding="utf-8"?>
<comments xmlns="http://schemas.openxmlformats.org/spreadsheetml/2006/main">
  <authors>
    <author>Maryory Pasachova Sanchez</author>
  </authors>
  <commentList>
    <comment ref="B7" authorId="0" shapeId="0">
      <text>
        <r>
          <rPr>
            <b/>
            <sz val="9"/>
            <color indexed="81"/>
            <rFont val="Tahoma"/>
            <family val="2"/>
          </rPr>
          <t>Maryory Pasachova Sanchez:</t>
        </r>
        <r>
          <rPr>
            <sz val="9"/>
            <color indexed="81"/>
            <rFont val="Tahoma"/>
            <family val="2"/>
          </rPr>
          <t xml:space="preserve">
No aportan formato 2: CONFORMACIÓN DE PROPONENTE PLURAL</t>
        </r>
      </text>
    </comment>
    <comment ref="F18" authorId="0" shapeId="0">
      <text>
        <r>
          <rPr>
            <b/>
            <sz val="9"/>
            <color indexed="81"/>
            <rFont val="Tahoma"/>
            <family val="2"/>
          </rPr>
          <t>Maryory Pasachova Sanchez:</t>
        </r>
        <r>
          <rPr>
            <sz val="9"/>
            <color indexed="81"/>
            <rFont val="Tahoma"/>
            <family val="2"/>
          </rPr>
          <t xml:space="preserve">
de acuerdo al rup y se afecta por el % de participacion que relacione en formato 3</t>
        </r>
      </text>
    </comment>
  </commentList>
</comments>
</file>

<file path=xl/comments6.xml><?xml version="1.0" encoding="utf-8"?>
<comments xmlns="http://schemas.openxmlformats.org/spreadsheetml/2006/main">
  <authors>
    <author>Maryory Pasachova Sanchez</author>
  </authors>
  <commentList>
    <comment ref="F18" authorId="0" shapeId="0">
      <text>
        <r>
          <rPr>
            <b/>
            <sz val="9"/>
            <color indexed="81"/>
            <rFont val="Tahoma"/>
            <family val="2"/>
          </rPr>
          <t>Maryory Pasachova Sanchez:</t>
        </r>
        <r>
          <rPr>
            <sz val="9"/>
            <color indexed="81"/>
            <rFont val="Tahoma"/>
            <family val="2"/>
          </rPr>
          <t xml:space="preserve">
de acuerdo al rup y se afecta por el % de participacion que relacione en formato 3</t>
        </r>
      </text>
    </comment>
  </commentList>
</comments>
</file>

<file path=xl/comments7.xml><?xml version="1.0" encoding="utf-8"?>
<comments xmlns="http://schemas.openxmlformats.org/spreadsheetml/2006/main">
  <authors>
    <author>Maryory Pasachova Sanchez</author>
  </authors>
  <commentList>
    <comment ref="F18" authorId="0" shapeId="0">
      <text>
        <r>
          <rPr>
            <b/>
            <sz val="9"/>
            <color indexed="81"/>
            <rFont val="Tahoma"/>
            <family val="2"/>
          </rPr>
          <t>Maryory Pasachova Sanchez:</t>
        </r>
        <r>
          <rPr>
            <sz val="9"/>
            <color indexed="81"/>
            <rFont val="Tahoma"/>
            <family val="2"/>
          </rPr>
          <t xml:space="preserve">
de acuerdo al rup y se afecta por el % de participacion que relacione en formato 3</t>
        </r>
      </text>
    </comment>
  </commentList>
</comments>
</file>

<file path=xl/comments8.xml><?xml version="1.0" encoding="utf-8"?>
<comments xmlns="http://schemas.openxmlformats.org/spreadsheetml/2006/main">
  <authors>
    <author>Maryory Pasachova Sanchez</author>
  </authors>
  <commentList>
    <comment ref="F18" authorId="0" shapeId="0">
      <text>
        <r>
          <rPr>
            <b/>
            <sz val="9"/>
            <color indexed="81"/>
            <rFont val="Tahoma"/>
            <family val="2"/>
          </rPr>
          <t>Maryory Pasachova Sanchez:</t>
        </r>
        <r>
          <rPr>
            <sz val="9"/>
            <color indexed="81"/>
            <rFont val="Tahoma"/>
            <family val="2"/>
          </rPr>
          <t xml:space="preserve">
de acuerdo al rup y se afecta por el % de participacion que relacione en formato 3</t>
        </r>
      </text>
    </comment>
  </commentList>
</comments>
</file>

<file path=xl/comments9.xml><?xml version="1.0" encoding="utf-8"?>
<comments xmlns="http://schemas.openxmlformats.org/spreadsheetml/2006/main">
  <authors>
    <author>Maryory Pasachova Sanchez</author>
  </authors>
  <commentList>
    <comment ref="F19" authorId="0" shapeId="0">
      <text>
        <r>
          <rPr>
            <b/>
            <sz val="9"/>
            <color indexed="81"/>
            <rFont val="Tahoma"/>
            <family val="2"/>
          </rPr>
          <t>Maryory Pasachova Sanchez:</t>
        </r>
        <r>
          <rPr>
            <sz val="9"/>
            <color indexed="81"/>
            <rFont val="Tahoma"/>
            <family val="2"/>
          </rPr>
          <t xml:space="preserve">
de acuerdo al rup y se afecta por el % de participacion que relacione en formato 3</t>
        </r>
      </text>
    </comment>
  </commentList>
</comments>
</file>

<file path=xl/comments10.xml><?xml version="1.0" encoding="utf-8"?>
<comments xmlns="http://schemas.openxmlformats.org/spreadsheetml/2006/main">
  <authors>
    <author>Maryory Pasachova Sanchez</author>
  </authors>
  <commentList>
    <comment ref="F18" authorId="0" shapeId="0">
      <text>
        <r>
          <rPr>
            <b/>
            <sz val="9"/>
            <color indexed="81"/>
            <rFont val="Tahoma"/>
            <family val="2"/>
          </rPr>
          <t>Maryory Pasachova Sanchez:</t>
        </r>
        <r>
          <rPr>
            <sz val="9"/>
            <color indexed="81"/>
            <rFont val="Tahoma"/>
            <family val="2"/>
          </rPr>
          <t xml:space="preserve">
de acuerdo al rup y se afecta por el % de participacion que relacione en formato 3</t>
        </r>
      </text>
    </comment>
  </commentList>
</comments>
</file>

<file path=xl/sharedStrings.xml><?xml version="1.0" encoding="utf-8"?>
<sst xmlns="http://schemas.openxmlformats.org/spreadsheetml/2006/main" count="2439" uniqueCount="534">
  <si>
    <t>CUMPLE</t>
  </si>
  <si>
    <t>SI</t>
  </si>
  <si>
    <t>ALCALDIA LOCAL DE LOS MARTIRES</t>
  </si>
  <si>
    <t>DATOS PARA EL CALCULO K-R</t>
  </si>
  <si>
    <t xml:space="preserve"># PROPUESTA </t>
  </si>
  <si>
    <t>NOMBRE
 PROPONENTE</t>
  </si>
  <si>
    <t>INTEGRANTES</t>
  </si>
  <si>
    <t>% PARTICIPACION</t>
  </si>
  <si>
    <t>MEJOR INGRESO OPERACIONAL</t>
  </si>
  <si>
    <t>CAPACIDAD FINANCIERA (INDICE DE LIQUIDEZ) (IL)</t>
  </si>
  <si>
    <t>CAPACIDAD TECNICA</t>
  </si>
  <si>
    <t>CONTRATOS EN EJECUCION</t>
  </si>
  <si>
    <t>EXPERIENCIA CTOS SEGMENTO 72</t>
  </si>
  <si>
    <t>RESULTADO</t>
  </si>
  <si>
    <t xml:space="preserve">OBSERVACION </t>
  </si>
  <si>
    <t>Evaluado por</t>
  </si>
  <si>
    <t>PROPONENTE</t>
  </si>
  <si>
    <t>OBSERVACIONES</t>
  </si>
  <si>
    <t>SMMLV</t>
  </si>
  <si>
    <t>CRITERIOS DE SELECCIÓN</t>
  </si>
  <si>
    <t>PUNTAJES</t>
  </si>
  <si>
    <t>100 PUNTOS</t>
  </si>
  <si>
    <t>10 PUNTOS</t>
  </si>
  <si>
    <t>PROTECCIÓN A LA INDUSTRIA NACIONAL</t>
  </si>
  <si>
    <t>Total :</t>
  </si>
  <si>
    <t>TOTAL PONDERACIÓN</t>
  </si>
  <si>
    <t>FONDO DE DESARROLLO LOCAL DE LOS MÁRTIRES</t>
  </si>
  <si>
    <t>VERIFICACIÓN DE EXPERIENCIA HABILITANTE DEL PROPONENTE</t>
  </si>
  <si>
    <t>VALORES DE REFERENCIA</t>
  </si>
  <si>
    <t>PESOS</t>
  </si>
  <si>
    <t>Po TOTAL =</t>
  </si>
  <si>
    <t>ANEXO 5.1 EXPERIENCIA HABILITANTE Y SOPORTES</t>
  </si>
  <si>
    <t>CONTRATOS</t>
  </si>
  <si>
    <t>INTEGRANTE
QUE APORTA</t>
  </si>
  <si>
    <t>RUP</t>
  </si>
  <si>
    <t>TOTALES =</t>
  </si>
  <si>
    <t>EVALUACION FACTOR HABILITANTE K- RESIDUAL LP 134 DE 2019 VIAS-FECHA DE PUBLICACION INFORME PRELIMINAR</t>
  </si>
  <si>
    <t>PROCESO: FDLM-LP-134-2019</t>
  </si>
  <si>
    <t>75 % 1 O 2 CONTRATOS Po=</t>
  </si>
  <si>
    <t>120% 3 O 4 CONTRATOS Po =</t>
  </si>
  <si>
    <t>150% 5 O 4 CONTRATOS Po =</t>
  </si>
  <si>
    <t>VALOR 
(SMMLV) SEGÚN RUP</t>
  </si>
  <si>
    <t>VALOR EN PESOS A AÑO 2019 (SMMLV ($828.116)</t>
  </si>
  <si>
    <t>SOPORTE DE EXPERIENCIA</t>
  </si>
  <si>
    <t>3.5. EXPERIENCIA 6. CARACTERISTICAS DE LOS CONTRATOS PRESENTADOS PARA ACREDITAR LA
EXPERIENCIA EXIGIDA - OBRAS INFRAESTRUCTURA VIAL URBANA y que guarden
relación directa con el objeto del contrato, relacionada en los siguientes ítems:</t>
  </si>
  <si>
    <t>6.1 PROYECTOS
DE CONSTRUCCIÓN O MEJORAMIENTO O REHABILITACIÓN DE VÍAS URBANAS</t>
  </si>
  <si>
    <t>6.2 PROYECTOS DE MANTENIMIENTO DE VIAS URBANAS</t>
  </si>
  <si>
    <t>6.3 PROYECTOS DE
CONSTRUCCIÓN O MEJORAMIENTO O REHABILITACIÓN DE ESPACIO PÚBLICO</t>
  </si>
  <si>
    <t>6.4
PROYECTOS DE MANTENIMIENTO DE ESPACIO PÚBLICO</t>
  </si>
  <si>
    <t>PROFESIONAL RESPONSABLE  DE EVALUACIÓN</t>
  </si>
  <si>
    <t>% PARTICIPACION EN C O UT</t>
  </si>
  <si>
    <t>CUMPLE &gt;= 50% EXPERIENCIA DE UN CONSORCIADO O UT</t>
  </si>
  <si>
    <t>3.5.1. CONSIDERACIONES PARA LA VALIDEZ DE LA EXPERIENCIA REQUERIDA</t>
  </si>
  <si>
    <t>Para los Proponentes Plurales, uno de los integrantes del Proponente debe aportar como
mínimo el cincuenta (50%) por ciento de la experiencia.</t>
  </si>
  <si>
    <t>OBJETO SEGÚN NUMERAL 3.5</t>
  </si>
  <si>
    <t>FACTORES PONDERABLES FDLM-LP-134-2019</t>
  </si>
  <si>
    <t>OFERTA ECONOMICA</t>
  </si>
  <si>
    <t>70 PUNTOS</t>
  </si>
  <si>
    <t>FACTOR CALIDAD</t>
  </si>
  <si>
    <t>9 PUNTOS</t>
  </si>
  <si>
    <t>5 PUNTOS</t>
  </si>
  <si>
    <t xml:space="preserve">4.2. FACTOR DE CALIDAD 
La Entidad asignará el puntaje de factor de calidad como sigue: 
</t>
  </si>
  <si>
    <t xml:space="preserve">Para determinar el método de ponderación, la Entidad tomará los centavos de la Tasa de Cambio Representativa del Mercado (TRM) (certificada por la Superintendencia Financiera de Colombia en su sitio web: https://www.superfinanciera.gov.co/publicacion/60819) que rija el día de la Audiencia efectiva de Adjudicación, definida en el cronograma vigente al momento del cierre del proceso de selección, aun cuando la fecha de la Audiencia efectiva de Adjudicación se modifique posteriormente en desarrollo del Proceso de Contratación. 
El método de ponderación se determinará de acuerdo con los rangos del siguiente cuadro: 
</t>
  </si>
  <si>
    <t xml:space="preserve"> 4.1. OFERTA ECONÓMICA  
Para la calificación de la propuesta económica se tendrá en cuenta el valor total indicado en el  Formulario 1– Formulario de Presupuesto Oficial, el cual deberá ser allegado en el Sobre No. 2 y debidamente firmado.
Se anexa el Formulario 1– Formulario de Presupuesto Oficial en formato Excel 
El valor de la propuesta económica debe ser presentado en pesos colombianos y contemplar todos los costos directos e indirectos para la completa y adecuada ejecución de la obra del presente proceso, los Riesgos y la administración de estos.
Al formular la oferta, el Proponente acepta que estarán a su cargo todos los impuestos, tasas y contribuciones establecidos por las diferentes autoridades nacionales, departamentales o municipales y dentro de estos mismos niveles territoriales, los impuestos, tasas y contribuciones establecidos por las diferentes autoridades.
Los estimativos técnicos que hagan los Proponentes para la presentación de sus ofertas deberán tener en cuenta que la ejecución del Contrato se regirá íntegramente por lo previsto en los Documentos del Proceso y que en sus cálculos económicos deben incluir todos los aspectos y requerimientos necesarios para cumplir con todas y cada una de las obligaciones contractuales como asumir los riesgos previstos en dichos documentos.
El desglose de los Análisis de Precios Unitarios publicados por la Entidad es únicamente de referencia, constituye una guía para la preparación de la Oferta. Si existe alguna duda o interrogante sobre la presentación de estos Análisis de Precios Unitarios y el precio de estudios publicados por la Entidad, es deber de los Proponente hacerlos conocer dentro del plazo establecido en el Anexo 2 – Cronograma - para la presentación de observaciones al proyecto de pliego de condiciones para que la Entidad los pueda estudiar.
</t>
  </si>
  <si>
    <t>CAPÍTULO IV CRITERIOS DE EVALUACIÓN, ASIGNACIÓN DE PUNTAJE Y CRITERIOS DE DESEMPATE 
La Entidad calificará las ofertas que hayan cumplido con los requisitos habilitantes con los siguientes puntajes:</t>
  </si>
  <si>
    <t>4,2,1</t>
  </si>
  <si>
    <t xml:space="preserve">La Entidad asignará NUEVE (9) puntos, al Proponente que se comprometa a instaurar un programa de gerencia de proyectos mediante la suscripción del Formato 7 – Factor de calidad (Formato 7A- Programa de Gerencia de Proyectos) (Formato 7B- Disponibilidad y condiciones funcionales de la maquinaria de obra) (Formato 7C- Plan de Calidad).  por parte del Representante Legal, en el cual bajo la gravedad de juramento conste el compromiso que en este sentido asume. 
Para efectos del presente Proceso de Selección, por gerencia de proyectos se entiende la aplicación de conocimientos, habilidades, herramientas y técnicas a las actividades del proyecto para cumplir con los requisitos de este, lo cual se logra mediante la aplicación de procesos de gerencia de proyectos en las fases de inicio, planificación, ejecución, monitoreo, control, y cierre del proyecto. La gerencia de proyectos requiere: identificar requisitos; abordar las diversas necesidades, inquietudes y expectativas de los interesados; equilibrar las contingencias que se relacionan entre otros aspectos con el alcance, la calidad, el cronograma, el presupuesto, los recursos y el riesgo.
Para la ejecución del Contrato, el adjudicatario deberá instaurar el programa de Gerencia de Proyectos y contar con un profesional tiempo completo en las áreas de la Ingeniería o la Arquitectura, con matrícula profesional vigente, que cumpla con al menos una de las siguientes opciones:
A. Opción 1: Profesional con certificado o credencial PMP (Project Management Professional), con mínimo un (1) año de experiencia como Coordinador, Gerente, Líder o Director de Proyectos de [tipo de proyecto según obra].
Para acreditar lo anterior, el adjudicatario deberá aportar copia del acta de grado y/o diploma que certifique que el profesional es Ingeniero y/o Arquitecto, así como certificación o credencial PMP vigente. Adicionalmente, deberá presentar certificaciones o contratos en los que se evidencie la experiencia solicitada en gerencia de proyectos.
B. Opción 2: Profesional que acredite tener una Especialización, Maestría o Doctorado en Gerencia de Proyectos o afines, con mínimo un (1) año de experiencia como coordinador, gerente, líder o director de proyectos de [tipo de proyecto según obra].
</t>
  </si>
  <si>
    <t xml:space="preserve">Para acreditar lo anterior el adjudicatario deberá aportar copia del acta de grado y/o diploma, que certifique que el profesional es ingeniero y/o arquitecto, así como copia de los títulos de postgrado, acreditados mediante copia de los diplomas y/o actas de grado. Adicionalmente, deberá presentar certificaciones o contratos en los que se evidencie la experiencia solicitada en gerencia de proyectos.
Cuando la Especialización, Maestría o Doctorado no sea específica en Gerencia de Proyectos, se deberá aportar copia del pensum académico, plan de estudios y certificación de la Universidad en la cual se indique que los estudios adelantados guardan equivalencia con los de una Gerencia de Proyecto. 
Para efectos del presente pliego, se entiende pensum académico, como el documento que contiene todas las asignaturas o materias que componen el plan de estudio de una determinada carrera. Para efectos de la equivalencia, el pensum académico deberá contener como mínimo estudios en las áreas de:
• Formulación, Evaluación o Gestión de Proyectos
• Gerencia del talento humano
• Principios de administración de proyectos (Planeación, organización, dirección y control) 
• Planeación Estratégica
• Finanzas
El programa de Gerencia de Proyectos estará sujeto al seguimiento de la interventoría durante la ejecución del contrato. 
En el evento de que el título académico haya sido obtenido en el extranjero el proponente deberá acreditar la convalidación de dicho título ante el Ministerio de Educación Nacional, de conformidad con lo establecido en la Sección 1.9.
Para efectos de estimar el tiempo de experiencia como coordinador, gerente, líder o director de proyectos de [tipo de proyecto según obra] se tendrá en consideración el tiempo transcurrido entre la fecha de inicio y de terminación indicada en las certificaciones presentadas, independientemente de su dedicación. En el evento de que existan traslapos de tiempo, solamente se tendrá en cuenta una vez el tiempo traslapado. 
</t>
  </si>
  <si>
    <t xml:space="preserve">4.1.4. DETERMINACIÓN DEL MÉTODO PARA LA PONDERACIÓN DE LA PROPUESTA ECONÓMICA
La Entidad seleccionará el método de ponderación de la propuesta económica de acuerdo con las siguientes alternativas:  
</t>
  </si>
  <si>
    <t>4,2,2</t>
  </si>
  <si>
    <t>4,2,3</t>
  </si>
  <si>
    <t xml:space="preserve">La Entidad asignarán CINCO (5) puntos al Proponente que se comprometa, mediante la suscripción del Formato 7 – Factor de calidad (Formato 7A- Programa de Gerencia de Proyectos) (Formato 7B- Disponibilidad y condiciones funcionales de la maquinaria de obra) (Formato 7C- Plan de Calidad), por parte del Representante Legal, a utilizar en obra maquinaria con una edad menor a veinte (20) años, según su función. En caso de que la maquinaria haya sido repotenciada, los 20 años cuentan desde la fecha de repotenciación de la máquina. 
Se asignará cero (0) puntos al Proponente que no ofrezca la maquinaria en las condiciones requeridas o la ofrezca sin cumplir con las exigencias dispuestas en este Pliego de condiciones. 
</t>
  </si>
  <si>
    <t>La verificación de este ofrecimiento se hará por parte de la interventoría en la ejecución del contrato. En virtud de lo anterior, el adjudicatario del Proceso de contratación deberá acreditar que la maquinaria se encuentra en las condiciones aquí descritas, para lo cual, allegará el documento idóneo.</t>
  </si>
  <si>
    <t xml:space="preserve">PRESENTACIÓN DE UN PLAN DE CALIDAD (5) PUNTOS </t>
  </si>
  <si>
    <t xml:space="preserve">DISPONIBILIDAD Y CONDICIONES FUNCIONALES DE LA MAQUINARIA DE OBRA (5) PUNTOS </t>
  </si>
  <si>
    <t>IMPLEMENTACIÓN DE PROGRAMA DE GERENCIA DE PROYECTOS  (9 PUNTOS)</t>
  </si>
  <si>
    <t xml:space="preserve">La Entidad asignará CINCO (5) PUNTOS al Proponente que se comprometa, mediante la suscripción del Formato 7 – Factor de calidad (Formato 7A- Programa de Gerencia de Proyectos) (Formato 7B- Disponibilidad y condiciones funcionales de la maquinaria de obra) (Formato 7C- Plan de Calidad)
 por parte del Representante Legal, a presentar un Plan de Calidad específico para el proyecto, elaborado conforme a los parámetros establecidos en la última actualización de las normas NTC ISO 9001:2015 y NTC ISO 10005:2018.
</t>
  </si>
  <si>
    <t>La interventoría verificará el cumplimiento de este criterio conforme a lo establecido en las normas mencionadas sin requerir la presentación de certificación alguna.</t>
  </si>
  <si>
    <t xml:space="preserve">Los Proponentes pueden obtener puntaje de apoyo a la industria nacional por: (i) Servicios Nacionales o con trato nacional o por (ii) la incorporación de servicios colombianos. La Entidad en ningún caso otorgará simultáneamente el puntaje por (i) Servicio Nacional o con Trato Nacional y por (ii) incorporación de servicios colombianos.
El objeto contractual es el servicio de obra, por lo cual la Entidad no asignará puntaje por Bienes Nacionales. 
Los puntajes para estimular a la industria nacional se relacionan en la siguiente tabla: 
</t>
  </si>
  <si>
    <t>1 PUNTO</t>
  </si>
  <si>
    <t xml:space="preserve">4.3.1 PROMOCIÓN SERVICIOS NACIONALES O CON TRATO NACIONAL La Entidad asignará hasta diez (10) puntos a la oferta de: (i) Servicios Nacionales o (ii) con Trato Nacional. 
Para que el Proponente obtenga puntaje por Servicios Nacionales debe presentar: 
A. Persona natural colombiana: La cédula de ciudadanía del Proponente.
B. Persona natural extranjera residente en Colombia: La visa de residencia que le permita la ejecución del objeto contractual de conformidad con la Ley. 
C. Persona jurídica constituida en Colombia: el Certificado de existencia y representación legal emitido por las Cámaras de Comercio. 
Para que el Proponente extranjero obtenga puntaje por Trato Nacional debe acreditar que los servicios son originarios de los Estados mencionados en la Sección de Acuerdos Comerciales aplicables al presente Proceso de Contratación, información que se acreditará con los documentos que aporte el Proponente extranjero para acreditar su domicilio. 
La Entidad asignará diez (10) puntos a un Proponente Plural cuando todos sus integrantes cumplan con las anteriores condiciones. 
</t>
  </si>
  <si>
    <t xml:space="preserve">4.3.2 INCORPORACIÓN DE COMPONENTE NACIONAL 
La Entidad asignará el puntaje descrito en la siguiente tabla a los Proponentes extranjeros sin derecho a Trato Nacional que incorporen el porcentaje de personal calificado colombiano como se describe a continuación. 
</t>
  </si>
  <si>
    <t xml:space="preserve">Por personal calificado se entiende aquel que requiere de un título universitario otorgado por una institución de educación superior, conforme a la Ley 749 de 2002, para ejercer determinada profesión.
Para recibir el puntaje por incorporación de componente colombiano, el representante legal o apoderado del Proponente debe diligenciar el Formato 9 – Puntaje de Industria Nacional. en el cual manifieste bajo la gravedad de juramento el personal ofrecido y su compromiso de vincular a dichas personas en caso de resultar adjudicatario del proceso.
En caso de no efectuar ningún ofrecimiento, el puntaje por este factor será de cero (0).
La Entidad únicamente otorgará el puntaje por promoción de la incorporación de componente nacional cuando el Proponente que presente el Formato 9 – Puntaje de Industria Nacional. no haya recibido puntaje alguno por promoción de Servicios Nacionales, Trato Nacional.
</t>
  </si>
  <si>
    <t>DESCRIPCION GENERAL</t>
  </si>
  <si>
    <t>DESCRIPCION ESPECIFICA</t>
  </si>
  <si>
    <t>Nº</t>
  </si>
  <si>
    <t xml:space="preserve">VINCULACIÓN DE PERSONAS CON DISCAPACIDAD </t>
  </si>
  <si>
    <t xml:space="preserve">La Entidad asignará un (1) punto al Proponente que acredite el número mínimo de personas con discapacidad de acuerdo con el número total de trabajadores de la planta de su personal en los términos señalados en el artículo 2.2.1.2.4.2.6. del Decreto 1082 de 2015 (adicionado por el Decreto 392 de 2018). </t>
  </si>
  <si>
    <t xml:space="preserve">Para esto debe presentar el Formato 8 – Vinculación de personas con discapacidad – suscrito por el Representante Legal o el Revisor Fiscal, según corresponda en el cual certifique el número total de trabajadores vinculados a la planta de personal del Proponente o sus integrantes a la fecha de cierre del proceso de selección y el número mínimo de personas con discapacidad en su planta de personal, de conformidad con lo señalado en el certificado expedido por el Ministerio de Trabajo, el cual deberá estar vigente a la fecha de cierre del proceso de selección.
Para los Proponentes Plurales, la Entidad tendrá en cuenta la planta de personal del integrante del Proponente Plural que aporte como mínimo el cuarenta por ciento (40%) de la experiencia requerida para el Proceso de Contratación.
</t>
  </si>
  <si>
    <t>4.2 FACTOR DE CALIDAD</t>
  </si>
  <si>
    <t>4.1 OFERTA ECONOMICA (70 PUNTOS)</t>
  </si>
  <si>
    <t>4.2.1 IMPLEMENTACIÓN DE PROGRAMA DE GERENCIA DE PROYECTOS  (9 PUNTOS)</t>
  </si>
  <si>
    <t xml:space="preserve">4.2.2  DISPONIBILIDAD Y CONDICIONES FUNCIONALES DE LA MAQUINARIA DE OBRA (5) PUNTOS </t>
  </si>
  <si>
    <t xml:space="preserve">4.2.3 PRESENTACIÓN DE UN PLAN DE CALIDAD (5) PUNTOS </t>
  </si>
  <si>
    <t>4.3 PROTECCIÓN A LA INDUSTRIA NACIONAL</t>
  </si>
  <si>
    <t xml:space="preserve">4.4 VINCULACIÓN DE PERSONAS CON DISCAPACIDAD </t>
  </si>
  <si>
    <t>BONILLA HOYOS OLIVERIO</t>
  </si>
  <si>
    <t>CONSORCIO MALLA VIAL LOS MARTIRES</t>
  </si>
  <si>
    <t>BARON VARGAS LUIS EGIMIO</t>
  </si>
  <si>
    <t>CBR SOLUCIONES DE INGENIERIA S.A.S</t>
  </si>
  <si>
    <t>NO CUMPLE, NO SE PUEDE DETERMINAR -OLIVERO BONILLA LE FALTA INGRESAR CONTRATOS DE SEGMENTO 72 EN SU RELACION -CERTIFICACION CON ERRORES ARITMETICOS DE CBR CONSTRUCCIONES, LE FALTA INGRESAR CONTRATOS DE SEGMENTO 72 - DEBE SUBSANAR</t>
  </si>
  <si>
    <t xml:space="preserve">MIROAL INGENIERIA S.A.S </t>
  </si>
  <si>
    <t xml:space="preserve">GBG S.A.S </t>
  </si>
  <si>
    <t>GUILLERMO BURGOS GRILLO</t>
  </si>
  <si>
    <t>CONSORCIO LOS MARTIRES MGB</t>
  </si>
  <si>
    <t>SI CUMPLE</t>
  </si>
  <si>
    <t>VILTEC S.A.S</t>
  </si>
  <si>
    <t>PAVIOBRAS S.A.S</t>
  </si>
  <si>
    <t xml:space="preserve">CONSTRUCTORA CAMACON S.A.S </t>
  </si>
  <si>
    <t>fecha 09-12-2019</t>
  </si>
  <si>
    <t>PROPONENTE 11:</t>
  </si>
  <si>
    <t xml:space="preserve">CONTRATAR EL MEJORAMIENTO DE LA VIA SECUNDARIA  SAN LUIS -GUAMO-EN EL 
DEPARTAMENTO DEL TOLIMA, DENTRO DEL 
PROYECTO APOYO AL SISTEMA VIAL REGIONAL PLAN VIAL REGIONAL DEL TOLIMA. 
</t>
  </si>
  <si>
    <t xml:space="preserve">1336 DEL 17 DE 
DICIEMBRE DE 
2010
</t>
  </si>
  <si>
    <t xml:space="preserve">CONTRATAR EL MEJORAMIENTO DE LA VIA 
SECUNDARIA GUAMO-RINCON SANTO - LA CHAMBA EN 
EL DEPARTAMENTO DEL TOLIMA, DENTRO DEL 
PROYECTO APOYO AL SISTEMA REGIONAL - PLAN 
REGIONAL DEL TOLIMA </t>
  </si>
  <si>
    <t xml:space="preserve">CONTRATAR EL MEJORAMIENTO DE LA VIA 
SECUNDARIA VARIANTE - EL TOTUMO, EN EL 
DEPARTAMENTO DEL TOLIMA DENTRO DEL PROYECTO 
AL SISREMA VIAL REGIONAL TOLIMA - PLAN VIAL DEL 
TOLIMA 
</t>
  </si>
  <si>
    <t xml:space="preserve">CONTRATO DE MEJORAMIENTO Y REHABILITACION DE 
LA VIA ESPINAL - COELLO CENTRO, CENTRO ORIENTE 
</t>
  </si>
  <si>
    <t xml:space="preserve">CONSTRUCCION ZONA DE ESPARCIMIENTO PUBLICO 
EN EL SECTOR EL CRUCE DEL MUNICIPIO DE 
PURIFICACION TOLIMA
</t>
  </si>
  <si>
    <t>270 DE 2019</t>
  </si>
  <si>
    <t xml:space="preserve">111 DEL 15 DE 
ABRIL DE 2015
</t>
  </si>
  <si>
    <t xml:space="preserve">1403 DE 
DICIEMBRE DE 
2010
</t>
  </si>
  <si>
    <t xml:space="preserve">0594 DEL 30 DE 
JUNIO
</t>
  </si>
  <si>
    <t>096 DE 2014</t>
  </si>
  <si>
    <t xml:space="preserve">
EL CONSTRATISTA SE OBLIGA  PARA CON EL FONDO A 
REALIZAR A PRECIOS UNITARIOS  FIJOS SIN FORMULA DE REAJUSTE POR MONTO AGOTABLE EL 
DIAGNOSTICO Y LAS OBRAS  DE MANTENIMIENTO Y/O 
REHABILITACION DE LA MALLA VIAL Y DEL ESPACIO 
PUBLICO  DE LA LOCALIDAD DE LOS MARTIRES
</t>
  </si>
  <si>
    <t>NO CUMPLE, puesto que no guarda relación directa con el objeto del contrato como lo indica el numeral 3,3 - CONTRATAR A PRECIOS UNITARIOS FIJOS POR LA MODALIDAD DE MONTO AGOTABLE, LAS OBRAS Y ACTIVIDADES PARA LA CONSERVACION DE LA MALLA VIAL Y ESPACIO PUBLICO DE LA LOCALIDAD DE LOS MARTIRES.</t>
  </si>
  <si>
    <t>NO CUMPLE, puesto que no guarda relación directa con el objeto del contrato como lo indica el numeral 3,4 - CONTRATAR A PRECIOS UNITARIOS FIJOS POR LA MODALIDAD DE MONTO AGOTABLE, LAS OBRAS Y ACTIVIDADES PARA LA CONSERVACION DE LA MALLA VIAL Y ESPACIO PUBLICO DE LA LOCALIDAD DE LOS MARTIRES.</t>
  </si>
  <si>
    <t>NO CUMPLE, puesto que no guarda relación directa con el objeto del contrato como lo indica el numeral 3,5- CONTRATAR A PRECIOS UNITARIOS FIJOS POR LA MODALIDAD DE MONTO AGOTABLE, LAS OBRAS Y ACTIVIDADES PARA LA CONSERVACION DE LA MALLA VIAL Y ESPACIO PUBLICO DE LA LOCALIDAD DE LOS MARTIRES.</t>
  </si>
  <si>
    <t>NO CUMPLE, puesto que no guarda relación directa con el objeto del contrato como lo indica el numeral 3,5 CONTRATAR A PRECIOS UNITARIOS FIJOS POR LA MODALIDAD DE MONTO AGOTABLE, LAS OBRAS Y ACTIVIDADES PARA LA CONSERVACION DE LA MALLA VIAL Y ESPACIO PUBLICO DE LA LOCALIDAD DE LOS MARTIRES.</t>
  </si>
  <si>
    <t>CUMPLE, ESTE CONTRATO  TIENE INTERVENCION EN REDES DE ALCANTARILLADO</t>
  </si>
  <si>
    <t>039 DE 2007</t>
  </si>
  <si>
    <t>234-2015</t>
  </si>
  <si>
    <t>164 DE 2015</t>
  </si>
  <si>
    <t>546 2002 PLAZOLETA SAN DIEGO</t>
  </si>
  <si>
    <t>EJECUTAR LAS ACTIVIDADES DE MANTENIMIENTO, REHABILITACION, RECONSTRUCCION Y DEMAS ACCIONES DE MOVILIDAD REQUERIDAS PARA MALLA VIAL Y ESPACIO PUBLICO DE LA LOCALIDAD DE SUBA</t>
  </si>
  <si>
    <t xml:space="preserve">MANTENIMIENTO DE VIAS ZONA NORTE A TRAVES DEL PROGRAMA DE REACCION VIAL EN BOGOTA
</t>
  </si>
  <si>
    <t>CONTRATAR BAJO LA MODALIDAD DE PRECIOS UNITARIOS FIJOS NO REAJUSTABLES LA CONSTRUCCION DE LA MALLA VIAL, ESPACIO PUBLICO Y OBRAS COMLEMENTARIAS PRODUCTO DEL CONTRATO DE CONSULTORIA N 166 DE 2014 DE LA LOCALIDAD DE SAN CRISTOBAL DC</t>
  </si>
  <si>
    <t>SI CUMPLE.</t>
  </si>
  <si>
    <t>CUMPLE, ESTE CONTRATO  TIENE INTERVENCION EN REDES DE ALCANTARILLADO.</t>
  </si>
  <si>
    <t>COMPLEMENTO DE LOS ESTUDIOS Y DISEÑOS A PRECIO GLOBAL FIJO Y LA COSNTRUCCION POR EL SISTEMA DE PRECIOS UNITARIOS FIJOS DE LA PLAZOLETA DE SAN DIEGO ENTRE CALLES 26 Y 28 ENTRE CARRERAS 7 Y10 EN BOGOTA. DESCRIPCIÓN: DEMOLICIONES, EXCAVACIONES, RELLENOS, INSTALACIONES DE ADOQUIN, ANDENES Y SARDINELES, REDES ELECTRICAS, TELEFONICAS, DE ALCANTARILLADO Y AGUAS LLUVIAS</t>
  </si>
  <si>
    <t>SI CUMPLE,  ESTE CONTRATO  TIENE INTERVENCION EN REDES DE SERVICIOS PUBLICOS</t>
  </si>
  <si>
    <t>NA</t>
  </si>
  <si>
    <t>116-2016</t>
  </si>
  <si>
    <t>597-2016</t>
  </si>
  <si>
    <t>OBRAS DE CONSTRUCCION DE VIAS LOCALES Y DE ESPACIO PUBLICO EN LA LOCALIDAD DE BOSA</t>
  </si>
  <si>
    <t>CONTRATO Y ACTA DE RECIBO FINAL</t>
  </si>
  <si>
    <t>CONTRATO Y ACTA DE RECIBO PARCIAL</t>
  </si>
  <si>
    <t>ELABORAR LOS ESTUDIOS Y DISEÑOS Y LA CONSTRUCCIÒN DE LOS CODIGOS DE IDENTIFICACIÓN VIAL PRIORIZADOS EN EL SECTOR CARACOLI EN LA LOCALIDAD DE CIUDAD BOLIVAR Y LOCALIDAD DE USME</t>
  </si>
  <si>
    <t>ACTA DE RECIBO FINAL</t>
  </si>
  <si>
    <t>SI CUMPLE, ESTE CONTRATO  TIENE INTERVENCION EN REDES DE SERVICIOS PUBLICOS</t>
  </si>
  <si>
    <t xml:space="preserve">ACTA DE RECIBO FINAL Y ACTA DE TERMINACIÖN, DOCUMENTO CONSORCIAL </t>
  </si>
  <si>
    <t xml:space="preserve">UNION TEMPORALINTERVENCION VIAL CIV - (CAMACON S.A.S 50%) </t>
  </si>
  <si>
    <t xml:space="preserve">UNION TEMPORAL VIAL DE BOGOTA - (CAMACON S.A.S 50%) </t>
  </si>
  <si>
    <t>ESTUDIOSYDISEÑOS, EL MANTENIMIENTO Y/OREHABILITACIÓN DELA MALLA VIAL LOCAL DE PUENTE ARANDA DE BOGOTÁ D.C</t>
  </si>
  <si>
    <t>L16-074-2015</t>
  </si>
  <si>
    <t>019 DE 2015</t>
  </si>
  <si>
    <t xml:space="preserve">REALIZAR OBRAS A MONTO AGOTABLE DE MANTENIMIENTO Y/O ADECUACION DE LA MALLA VIAL Y ANDENES DE LA LOCALIDAD DE ENGATIVA
</t>
  </si>
  <si>
    <t xml:space="preserve">SI CUMPLE. </t>
  </si>
  <si>
    <t>CONSORCIO INFRAESTRUTURA ENGATIVA (PAVIOBRAS S.A.S 30%)</t>
  </si>
  <si>
    <t>CONTRATO, ACTA DE TERMINACIÓN, ACTA DE RECIBO FINAL Y ENTREGA DE OBRA, DOCUMENTO CONSORCIAL</t>
  </si>
  <si>
    <t>CONTRATO, ACTA DE TERMINACIÓN, ACTA DE RECIBO FINAL DE OBRA, DOCUMENTO CONSORCIAL</t>
  </si>
  <si>
    <t>CONSORCIO INFRAESTRUTURA VIAL SIP (PAVIOBRAS S.A.S 15%)</t>
  </si>
  <si>
    <t xml:space="preserve">CONSORCIO INGETOL 
(Integrante que aporta la experiencia LUIS EGIMIO BARON 
VARGAS 90%) 
</t>
  </si>
  <si>
    <t>CONSORCIO INGESP (Integrante que aporta la experiencia LUIS EGIMIO BARON 
VARGAS 90%)</t>
  </si>
  <si>
    <t xml:space="preserve">LUIS EGIMIO BARON VARGAS 100% </t>
  </si>
  <si>
    <t xml:space="preserve">CONSORCIO BARLOZ 
(Integrante que aporta la experiencia LUIS EGIMIO BARON 
VARGAS 95%)
</t>
  </si>
  <si>
    <t>UNION TEMPORAL MALLA VIAL 
LOS MARTIRES (Integrante que aporta la experiencia LUIS EGIMIO 
BARON VARGAS 30%)</t>
  </si>
  <si>
    <t>GUILLERMO BURGOS GRILLO 33%</t>
  </si>
  <si>
    <t>GUILLERMO BURGOS GRILLO 51%</t>
  </si>
  <si>
    <t>GUILLERMO BURGOS GRILLO 50%</t>
  </si>
  <si>
    <t>GUILLERMO BURGOS GRILLO 100%</t>
  </si>
  <si>
    <t xml:space="preserve">Realizar a precios unitarios, las obras de mejoramiento integral para la malla vial intermedia y local de la localidad de Suba, en la ciudad de Bogotá D.C. de acuerdo con la descripción, especificacones y demás condiciones establecidas en el pliego de condiciones, en especial con las establecidas en los apéndices, y las consignadas en el ánexo técnico general.
</t>
  </si>
  <si>
    <t>Desarrollar las actividades de mantenimiento, rehabilitación, reconstrucción y acciones de movilidad de la malla vial y espació público de la localidad de Suba</t>
  </si>
  <si>
    <t>031 de 2012</t>
  </si>
  <si>
    <t xml:space="preserve">092 de 2014
</t>
  </si>
  <si>
    <t xml:space="preserve">CERTIFICADO FDL - ACTA DE RECIBO </t>
  </si>
  <si>
    <t>CERT MIN TRABAJO VENCIDO DESDE 20/11/2019</t>
  </si>
  <si>
    <t>CONSORCIO PORVENIR</t>
  </si>
  <si>
    <t>CONSORCIO CONSTRUVALOR MARTIRES</t>
  </si>
  <si>
    <t>NO APORTA CERT MINTRABAJO</t>
  </si>
  <si>
    <t>BALLEN B Y CIA S.A.S</t>
  </si>
  <si>
    <t>CONSORCIO VIAS MARTIRES 2019</t>
  </si>
  <si>
    <t>PROPONENTE 1:</t>
  </si>
  <si>
    <t>UT MALLA VIAL MARTIRES</t>
  </si>
  <si>
    <t>LUIS EDUARDO GUITIERREZ DIAZGRANADOS</t>
  </si>
  <si>
    <t>GEOINGENIERIA LTDA</t>
  </si>
  <si>
    <t>CO 017 DE 2012</t>
  </si>
  <si>
    <t>ACTA FINAL DE OBRA</t>
  </si>
  <si>
    <t>205 DE 2017</t>
  </si>
  <si>
    <t xml:space="preserve">ACTA DE ENTREGA Y RECIBO FINAL DEL OBJETO CONTRACTUAL
 </t>
  </si>
  <si>
    <t>PROPONENTE 2:</t>
  </si>
  <si>
    <t>COURVI INGENIERIA S.A.S</t>
  </si>
  <si>
    <t>PROTECO INGENIERIA S.A.S</t>
  </si>
  <si>
    <t>AVINCO S.A.S</t>
  </si>
  <si>
    <t xml:space="preserve"> CUMPLE</t>
  </si>
  <si>
    <t xml:space="preserve">COURVI  INGENIERIA S.A.S                 </t>
  </si>
  <si>
    <t xml:space="preserve">ACTA DE CANTIDADES </t>
  </si>
  <si>
    <t>CB8373886</t>
  </si>
  <si>
    <t>BO9362913</t>
  </si>
  <si>
    <t>2011.12.13.280.90.0003</t>
  </si>
  <si>
    <t>PROPONENTE 3:</t>
  </si>
  <si>
    <t>JUAN CARLOS RICO INFANTE</t>
  </si>
  <si>
    <t>VINCON S.A.S</t>
  </si>
  <si>
    <t>007 de
2010</t>
  </si>
  <si>
    <t xml:space="preserve">JUAN CARLOS RICO INFANTE
           </t>
  </si>
  <si>
    <t>ACTA DE RECIBO FINAL Y ACTA DE LIQUIDACION</t>
  </si>
  <si>
    <t>019 de
2011</t>
  </si>
  <si>
    <t>36</t>
  </si>
  <si>
    <t xml:space="preserve">CERTIFICACION, ACTA RECIBO FINAL, ACTA DE LIQUIDACION </t>
  </si>
  <si>
    <t>PROPONENTE 4:</t>
  </si>
  <si>
    <t>EDGAR ORLANDO BALLEN BUITRAGO</t>
  </si>
  <si>
    <t>COP-200-2016</t>
  </si>
  <si>
    <t xml:space="preserve">BALLEN B Y CIA SAS
           </t>
  </si>
  <si>
    <t>CERTIFICACION, ACTA DE TERMINACION DEL CONTRATO, ACTA DE RECIBO FINAL DE OBRA</t>
  </si>
  <si>
    <t>132-2013</t>
  </si>
  <si>
    <t xml:space="preserve">ACTA DE RECIBO FINAL, ACTA DE LIQUIDACION, </t>
  </si>
  <si>
    <t>PROPONENTE 5:</t>
  </si>
  <si>
    <t>CONSTRUCTORES E INGENIEROS UNIDOS S.A.S</t>
  </si>
  <si>
    <t>MIGUEL ANGEL AVILA REYES</t>
  </si>
  <si>
    <t>SOLVER PROYECTOS S.A.S</t>
  </si>
  <si>
    <t>IDU 432-99</t>
  </si>
  <si>
    <t xml:space="preserve">MIGUEL AVILA REYES </t>
  </si>
  <si>
    <t xml:space="preserve">CERTIFICACION CON CANTIDADES DE OBRAS EJECUTADAS, </t>
  </si>
  <si>
    <t xml:space="preserve">9 DE 2015
</t>
  </si>
  <si>
    <t>CONINSAS</t>
  </si>
  <si>
    <t>CONTRATO, ACTA DE TERMINACION DE OBRA</t>
  </si>
  <si>
    <t>348 DE 2015</t>
  </si>
  <si>
    <t>CONTRATO, ACTA DE RECIBO FINAL</t>
  </si>
  <si>
    <t>337 DE 2010</t>
  </si>
  <si>
    <t>CERTIFICACION, ACTA DE CORTE Y FINAL, ACTA DE LIQUIDACION</t>
  </si>
  <si>
    <t xml:space="preserve">206 DE 2015              </t>
  </si>
  <si>
    <t>CERTIFICACION, ACTA DE RECIBO FINAL</t>
  </si>
  <si>
    <t>CONSORCIO CLINKER</t>
  </si>
  <si>
    <t>MARAN S.A.S.</t>
  </si>
  <si>
    <t>ASFALTEMOS S.A.S.</t>
  </si>
  <si>
    <t>CONSORCIO AZCA</t>
  </si>
  <si>
    <t>PROPONENTE 35:</t>
  </si>
  <si>
    <t>CARLOS ALBERTO ROZO NADER</t>
  </si>
  <si>
    <t>AZUL CONSTRUCCION Y MINERIA S.A.S</t>
  </si>
  <si>
    <t>CO-001-2013</t>
  </si>
  <si>
    <t xml:space="preserve">CERTIFICACION Y/O ACTA DE RECIBO </t>
  </si>
  <si>
    <t>2015-02-0330</t>
  </si>
  <si>
    <t>NO CUMPLE</t>
  </si>
  <si>
    <t xml:space="preserve">ACTA DE RECIBO </t>
  </si>
  <si>
    <t>EL CONTRATO DE SOPORTE ANEXADO NO CUMPLE DEBIDO A QUE LAS VIAS CERTIFICADAS NO CORRESPONDEN A VIAS URBANAS COMO LO INFORMA EL NUMERAL 3,5 (no guarda
relación directa con el objeto del contrato)</t>
  </si>
  <si>
    <t>PROICAM S.A.S</t>
  </si>
  <si>
    <t>INGEDEUR S.A.S</t>
  </si>
  <si>
    <t>150% 5 O 6 CONTRATOS Po =</t>
  </si>
  <si>
    <t>084-2014</t>
  </si>
  <si>
    <t>INGENIERIA Y DESARROLLO URBANISTICO SAS (INGEDEUR SAS)</t>
  </si>
  <si>
    <t>LE EJECUCION A PRECIOS UNITARIOS FIJOS SIN FÓRMULA DE REAJUSTE POR MONTO AGOTABLE PARA EL MANTENIMIENTO PERIÓDICO (PARCHEO, BACHEO,CAMBIO DE CARPETA) Y REHABILITACIÓN DE LA MALLA VIAL LOCAL Y MANTENIMIENTO DEANDENES ADYACENTES A LOS SEGMENTOS VIALES A INTERVENIR QUE ASI LO REQUIERAN, EN LALOCALIDAD DE TEUSAQUILLO, DE CONFORMIDAD CON LOS PLIEGOS DE CONDICIONES, ESTUDIOS PREVIOS, FORMULACIÓN DE LOS PROYECTOS Y DEMÁS CONDICIONES ESTABLECIDAS EN LOS ANEXOS TÉCNICOSDEL PROCESO.</t>
  </si>
  <si>
    <t>ACTA FINAL DE OBRA Y ACTA DE TERMINACION DE OBRA</t>
  </si>
  <si>
    <t>090-2013</t>
  </si>
  <si>
    <t>LA EJECUCION A PRECIOS UNITARIOS FIJOS SIN FÓRMULA DE REAJUSTE POR MONTO AGOTABLE PARA EL MANTENIMIENTO PERIÓDICO (PARCHEO, BACHEO,CAMBIO DE CARPETA) Y REHABILITACIÓN DE LA MALLA VIAL LOCAL Y MANTENIMIENTO DEANDENES ADYACENTES A LOS SEGMENTOS VIALES A INTERVENIR QUE ASI LO REQUIERAN, EN LALOCALIDAD DE TEUSAQUILLO, DE CONFORMIDAD CON LOS PLIEGOS DE CONDICIONES, ESTUDIOS PREVIOS, FORMULACIÓN DE LOS PROYECTOS Y DEMÁS CONDICIONES ESTABLECIDAS EN LOS ANEXOS TÉCNICOSDEL PROCESO.</t>
  </si>
  <si>
    <t>CONTRATO DE OBRA Y LA CERTIFICACION DE OBRA</t>
  </si>
  <si>
    <t>167-2014</t>
  </si>
  <si>
    <t>PROYECTOS DE INGENIERIA CIVIL Y AMBIENTAL SAS (PROICAM SAS)</t>
  </si>
  <si>
    <t>PAVIMENTACION VIA CARRERA 7 COMPLEJO DEPORTIVO -COLEGIO LAS VILLAS INCLUYE CENTRO POBLADO SAN ANTONIO EN EL MUNICIPIO DE COGUA DEPARTAMENTO DE CUNDINAMARCA.</t>
  </si>
  <si>
    <t xml:space="preserve">ACTA ENTREGA DE OBRA, ACTA DE LIQUIDACION </t>
  </si>
  <si>
    <t>008-2013</t>
  </si>
  <si>
    <t>CONSTRUCCION DE LA VIA EN PAVIMENTO RIGIDO DE LA CARRERA 7 ENTRE LA CALLE 6 Y PERIMETRO URBANO DEL MUNICIPIO DE SUPATA-CUNDINAMARCA.</t>
  </si>
  <si>
    <t>ACTA DE ENTREGA DE OBRA, ACTA DE ENTREGA FINAL</t>
  </si>
  <si>
    <t>PROPONENTE 37:</t>
  </si>
  <si>
    <t>MARAN SAS</t>
  </si>
  <si>
    <t>039-1983</t>
  </si>
  <si>
    <t>CONSTRUCCION DE LA CALZADA OCCIDENTAL DE LA AVENIDA AGOBERTO MEJIA,LOCALIZACION EN LA CALLE 42A
SUR- BOSA</t>
  </si>
  <si>
    <t xml:space="preserve">CERTIFICACION DE OBRA, CTO 039 </t>
  </si>
  <si>
    <t>COP-172-2013</t>
  </si>
  <si>
    <t>REHABILITACION DE LA MALLA VIAL PRIORIZADA EN LA JORNADA 72 K EN LA LOCALIDAD DE KENNEDY Y
MANTENIMIENTO DE ANDENES GRUPO 1</t>
  </si>
  <si>
    <t>CERTIFICACION DE OBRA, LIQUIDACION DE OBRA Y ACTA DE RECIBO FINAL</t>
  </si>
  <si>
    <t>1-01-333300-
1416-2013</t>
  </si>
  <si>
    <t>RECONSTRUCCION DE ANDENES Y CALZADAS DEL ESPACIO PUBLICO, INTERVENIDAS POR LA EAB EN SU FUNCION
OPERATIVA DE REPARACION DE DAÑOS Y EN U FUNCION COMERCIAL DE ACOMETIDAS DEL ACUEDUCTO Y
DOMICILIARIAS DEL ALCANTARILLADO EN EL AREA DE INFLUENCIA DEL EAB</t>
  </si>
  <si>
    <t>CERTIFICADO DE CONTRATO, ACTA DE RECIBO FINAL DE OBRA, CERTIFICACION DE OBRA</t>
  </si>
  <si>
    <t>ASFALTEMOS SAS</t>
  </si>
  <si>
    <t>REHABILITACION DE VIAS URBANAS FASE IV EN EL
MUNICIPIO DE MELGAR TOLIMA</t>
  </si>
  <si>
    <t>CTRATO, CERITICACION DE OBRA Y ACTA FINAL DE OBRA</t>
  </si>
  <si>
    <t>Mejoramiento y mantenimiento de la carretera
Bucaramanga - San Alberto, ruta 45A, tramo 08, sector
Rionegro - San Alberto PR18+000 al PR93+0694, en el
departamento de Santander.</t>
  </si>
  <si>
    <t xml:space="preserve">CONTRATO, ACTA FINAL DE OBRA </t>
  </si>
  <si>
    <t>NO CUMPLE, DEBIDO A QUE LAS VIA DE RELACION EN EL CONTRATO NO CORRESPONDE A VIAS URVANAS QUE ES LO QUE SOLICITA EL PLIEGO PARA SOPORTAR EXPERIENCIA</t>
  </si>
  <si>
    <t xml:space="preserve"> MALLA VIAL MARTIRES</t>
  </si>
  <si>
    <t>CONSORCIO AG3-
MARTIRES</t>
  </si>
  <si>
    <t>AURELIO GUTIERREZ CASTILLO</t>
  </si>
  <si>
    <t>AG3</t>
  </si>
  <si>
    <t>116 DE 2016</t>
  </si>
  <si>
    <t>IDU-UEL-6-595 DE 1999</t>
  </si>
  <si>
    <t>ACTA DE LIQUIDACION Y CERTIFICACION</t>
  </si>
  <si>
    <t>CONSORCIO MARTIRES 134</t>
  </si>
  <si>
    <t>PROMCIVILES SAS</t>
  </si>
  <si>
    <t>NO CUMPLE 
DEBE SUBSANAR LAS OBSERVACIONES REALIZADAS</t>
  </si>
  <si>
    <t>PROMOTORA PUGA LTDA</t>
  </si>
  <si>
    <t>119 DE 2006</t>
  </si>
  <si>
    <t>ACTA DE RECIBO FINAL DE OBRA</t>
  </si>
  <si>
    <t>se solicita modificar el Formato No3 en la casilla valor total del contrato en SMMLV, el valor no coincide con el valor del contrato expresado en SMMLV de RUP</t>
  </si>
  <si>
    <t>107 DE 2013</t>
  </si>
  <si>
    <t>se solicita acta donde se incluyan las cantidades e obra</t>
  </si>
  <si>
    <t>CONSORCIO VIAL MARTIRES 2020</t>
  </si>
  <si>
    <t>CAFYRO CONSTRUCCIONES Y DISEÑOS SAS</t>
  </si>
  <si>
    <t>ASECAF SAS</t>
  </si>
  <si>
    <t>ANGEL ROA HERNANDEZ</t>
  </si>
  <si>
    <t>022 DE 2011</t>
  </si>
  <si>
    <t>CERTIFICACIÓN, CANTIDADES EJECUTADAS.</t>
  </si>
  <si>
    <t>EL OBJETO DEL CONTRATO HACE REFERENCIA A VIAS NACIONALES, NO URBANAS COMO SE MENCIONA EN EL NUMERAL 3.5. EXPERIENCIA 6. CARACTERISTICAS DE LOS CONTRATOS PRESENTADOS PARA ACREDITAR LA EXPERIENCIA EXIGIDA - OBRAS INFRAESTRUCTURA VIAL URBANA y que guarden
relación directa con el objeto del contrato, relacionada en los siguientes ítems: 6.1 PROYECTOS
DE CONSTRUCCIÓN O MEJORAMIENTO O REHABILITACIÓN DE VÍAS URBANAS, 6.2 PROYECTOS DE MANTENIMIENTO DE VIAS URBANAS, 6.3 PROYECTOS DE CONSTRUCCIÓN O MEJORAMIENTO O REHABILITACIÓN DE ESPACIO PÚBLICO Y/O 6.4 PROYECTOS DE MANTENIMIENTO DE ESPACIO PÚBLICO.</t>
  </si>
  <si>
    <t>00711 DE 2013</t>
  </si>
  <si>
    <t>CERTIFICACIÓN DE OBRA</t>
  </si>
  <si>
    <t>SE SOLICITA APORTAR EL RUP DEL INTEGRANTE DEL CONSORCIADO QUE APORTA LA EXPERIENCIA</t>
  </si>
  <si>
    <t>INTERAMBIENTE INGENIERIA SAS</t>
  </si>
  <si>
    <t>JORGE REMIGIO OSTOS SANCHEZ</t>
  </si>
  <si>
    <t>NELSON ARTURO ORTIZ AMEZQUITA</t>
  </si>
  <si>
    <t>079 DE 2014</t>
  </si>
  <si>
    <t>ACTA DE RECIBO FINAL DE OBRA
ACTA DE LIQUIDACIÓN DEL CONTRATO</t>
  </si>
  <si>
    <t>173 DE 2016</t>
  </si>
  <si>
    <t>ACTA DE TERMINACIÓN DEL CONTRATO DE OBRA
ACTA DE RECIBO FINAL DE OBRA</t>
  </si>
  <si>
    <t xml:space="preserve">SE DEBE CORREGIR EL VALOR TOTAL DEL CONTRATO EN EL FORMATO 3, ES INFERIOR A LA OPERACIÓN MATEMÁTICA. </t>
  </si>
  <si>
    <t>133 DE 2013</t>
  </si>
  <si>
    <t>055 DE 2014</t>
  </si>
  <si>
    <t>ACTA DE RECIBO FINAL DE OBRA
ACTA DE LIQUIDACIÓN</t>
  </si>
  <si>
    <t>SEGÚN DOCUMENTO CONSORCIAL INTERAMBIENTE CUENTA CON EL 50% DE PARTICIPACION EN EL CONTRATO PERO EN EL RUP NO SE REGISTRA EL PORCENTAJE DE PARTICIPACIÓN, ADICIONALMENTE EN EL RUP SE OBSERVA COMO CONTRATANTE AL CONSORCIO REHABILITACION VIAL, NO AL FONDO DE DESARROLLO LOCAL DE USAQUEN. POR LO TANTO EL PROPONENETE DEBE SUBSANAR LAS INCONSISTENCIAS.</t>
  </si>
  <si>
    <t>CONSORCIO VIAL JH</t>
  </si>
  <si>
    <t>HMR INGENIERIA SAS</t>
  </si>
  <si>
    <t>JESUS ELQUIN HERNANDEZ ROJAS</t>
  </si>
  <si>
    <t>IDU-UEL-18-82 DE 2008</t>
  </si>
  <si>
    <t>JESUS ELQUIN HERNANDEZ</t>
  </si>
  <si>
    <t>CERTIFICACIÓN
ACTA DE LIQUIDACIÓN DEL CONTRATO
ACTA DE RECIBO FINAL DE OBRA</t>
  </si>
  <si>
    <t>IDU-178 DE 2006</t>
  </si>
  <si>
    <t>IDU-227 DE 2004</t>
  </si>
  <si>
    <t>CONSORCIO VIAS MA</t>
  </si>
  <si>
    <t>INGEVOLCO SAS</t>
  </si>
  <si>
    <t>EP INGENIEROS CIVILES</t>
  </si>
  <si>
    <t>151 DE 2016</t>
  </si>
  <si>
    <t>056 DE 2017</t>
  </si>
  <si>
    <t>VIC SAS</t>
  </si>
  <si>
    <t>2171515 DE 2017</t>
  </si>
  <si>
    <t>ACTA DE ENTREGA Y RECIBO FINAL</t>
  </si>
  <si>
    <t>1707 DE 2014</t>
  </si>
  <si>
    <t>CONSORCIO MALLA VIAL MARTIRES</t>
  </si>
  <si>
    <t>QUARZO CONSTRUCCIONES SAS</t>
  </si>
  <si>
    <t>ENTRE OBRAS SAS</t>
  </si>
  <si>
    <t>ANDRES HUMBERTO BELTRAN FLOREZ</t>
  </si>
  <si>
    <t>2490 DEL 1 DE NOVIEMBRE DE 2005</t>
  </si>
  <si>
    <t>ENTRE OBRAS</t>
  </si>
  <si>
    <t>NO SE CUMPLE CON LA EXPERIENCIA EXIGIDA EN EL NUMERAL 3.5. EXPERIENCIA 6. CARACTERISTICAS DE LOS CONTRATOS PRESENTADOS PARA ACREDITAR LA EXPERIENCIA EXIGIDA - OBRAS INFRAESTRUCTURA VIAL URBANA y que guarden relación directa con el objeto del contrato, relacionada en los siguientes ítems: 6.1 PROYECTOS DE CONSTRUCCIÓN O MEJORAMIENTO O REHABILITACIÓN DE VÍAS URBANAS, 6.2 PROYECTOS DE MANTENIMIENTO DE VIAS URBANAS, 6.3 PROYECTOS DE CONSTRUCCIÓN O MEJORAMIENTO O REHABILITACIÓN DE ESPACIO PÚBLICO, 6.4 PROYECTOS DE MANTENIMIENTO DE ESPACIO PÚBLICO</t>
  </si>
  <si>
    <t>0854 DEL 26 DE DICIEMBRE DE 2015</t>
  </si>
  <si>
    <t>CO-2013-004</t>
  </si>
  <si>
    <t>ACTA FINAL DE OBRA
ACTA DE TERMINACION POR CUMPLIMIENTO CONTRACTUAL DE OBRA</t>
  </si>
  <si>
    <t>014 DEL 29 DE
DICIEMBRE DE
2005</t>
  </si>
  <si>
    <t>CONSORCIO RUTA 49</t>
  </si>
  <si>
    <t>WILVER FRANCINY RUSSY LADINO</t>
  </si>
  <si>
    <t>INFRAESTRUCTURA CAR Y CIA SAS</t>
  </si>
  <si>
    <t>001 DE 2015</t>
  </si>
  <si>
    <t>INFRAESTRUCTURA CAR
Y CIA SAS</t>
  </si>
  <si>
    <t>CERTIFICACION
LIQUIDACION DEL CONTRATO
ACTA DE LIQUIDACIÓN FINAL</t>
  </si>
  <si>
    <t>005 DE 2016</t>
  </si>
  <si>
    <t>CERTIFICACIÓN
ACTA DE RECIBO FINAL DE OBRA
ACTA CORTE DE OBRA</t>
  </si>
  <si>
    <t>0022 DE 2014</t>
  </si>
  <si>
    <t>CERTIFICACION
ACTA DE RECIBO FINAL DE OBRA
ACTA DE LIQUIDACIÓN FINAL</t>
  </si>
  <si>
    <t>0406-2015</t>
  </si>
  <si>
    <t>CERTIFICACION
ACTA DE RECIBO FINAL DE OBRA
ACTA DE LIQUIDACIÓN</t>
  </si>
  <si>
    <t>CONSORCIO AG3-MARTIRES</t>
  </si>
  <si>
    <t>CERT MIN TRABAJO VENCIDO</t>
  </si>
  <si>
    <t>NO SE EVIDENCIA ANEXO 9 DE LA PROTECCION A LA INDUSTRIA NACIONAL, SE DEBE SUBSANAR</t>
  </si>
  <si>
    <t>UT VIAS</t>
  </si>
  <si>
    <t xml:space="preserve">VAREGO SAS </t>
  </si>
  <si>
    <t>EQUIPOS Y CONSTRUCCIONES VAREGO SAS</t>
  </si>
  <si>
    <t>1422-214 INSTITUTO NACIONAL DE VIAS</t>
  </si>
  <si>
    <t>CERTIFICACION DEL DIRECTOR DEL INSTITUTO NACIONAL DE VIAS- TERRITORIAL  HUILA
ACTA DE ENTREGA Y RECIBO DEFINITIVO DE OBRA</t>
  </si>
  <si>
    <r>
      <rPr>
        <sz val="11"/>
        <color rgb="FFFF0000"/>
        <rFont val="Calibri"/>
        <family val="2"/>
        <scheme val="minor"/>
      </rPr>
      <t>NO CUMPLE  EN EL NUMERAL 3.5,</t>
    </r>
    <r>
      <rPr>
        <sz val="11"/>
        <color theme="1"/>
        <rFont val="Calibri"/>
        <family val="2"/>
        <scheme val="minor"/>
      </rPr>
      <t xml:space="preserve"> TENIENDO EN CUENTA QUE EL OBJETO DEBE TENER LAS SIGUIENTE CARACTERISTICAS: PROYECTOS
DE CONSTRUCCIÓN O MEJORAMIENTO O REHABILITACIÓN DE VÍAS URBANAS,PROYECTOS,PROYECTOS DE MANTENIMIENTO DE ESPACIO PÚBLICO
DE CONSTRUCCIÓN O MEJORAMIENTO O REHABILITACIÓN DE VÍAS URBANAS, PROYECTOS DE MANTENIMIENTO DE VIAS URBANAS5/12/2019 PROYECTOS DE
CONSTRUCCIÓN O MEJORAMIENTO O REHABILITACIÓN DE ESPACIO PÚBLICO</t>
    </r>
  </si>
  <si>
    <t>VAREGO SAS</t>
  </si>
  <si>
    <r>
      <rPr>
        <sz val="11"/>
        <color rgb="FFFF0000"/>
        <rFont val="Calibri"/>
        <family val="2"/>
        <scheme val="minor"/>
      </rPr>
      <t xml:space="preserve">NO CUMPLE  EN EL NUMERAL 3.5, </t>
    </r>
    <r>
      <rPr>
        <sz val="11"/>
        <color theme="1"/>
        <rFont val="Calibri"/>
        <family val="2"/>
        <scheme val="minor"/>
      </rPr>
      <t>TENIENDO EN CUENTA QUE EL OBJETO DEBE TENER LAS SIGUIENTE CARACTERISTICAS: PROYECTOS
DE CONSTRUCCIÓN O MEJORAMIENTO O REHABILITACIÓN DE VÍAS URBANAS,PROYECTOS,PROYECTOS DE MANTENIMIENTO DE ESPACIO PÚBLICO
DE CONSTRUCCIÓN O MEJORAMIENTO O REHABILITACIÓN DE VÍAS URBANAS, PROYECTOS DE MANTENIMIENTO DE VIAS URBANAS5/12/2019 PROYECTOS DE
CONSTRUCCIÓN O MEJORAMIENTO O REHABILITACIÓN DE ESPACIO PÚBLICO</t>
    </r>
  </si>
  <si>
    <t>156-2005 INSTITUTODE DESARROLLO URBANO IDU</t>
  </si>
  <si>
    <t>CERTIFICACION DE LA DIRECTORA TECNICA DE MANTENIMIENTO ENCARGADA DEL INSTITUTO DE DESARROLLO URBANO IDU- CERTIFICACION DE MALLA VIAL DEL INSTITUTO DE DESARROLLO URBANO IDU/ ACTA DE RECIBO FINAL DE OBRA</t>
  </si>
  <si>
    <t>INCOPAV S.A</t>
  </si>
  <si>
    <t>153-2007 INSTITUTO DE DESARROLLO URBANO IDU</t>
  </si>
  <si>
    <t>CERTIFICACION DEL LA DIRECTORA TECNICA DE CONSTRUCCIONES DEL IDU/ ACTA DE RECIBO FINAL DE OBRA</t>
  </si>
  <si>
    <t>1305-2015 INVIAS</t>
  </si>
  <si>
    <t>ACTA DE ENTREGA Y RECIBO DEFINITIVO DE OBRA</t>
  </si>
  <si>
    <r>
      <rPr>
        <sz val="11"/>
        <color rgb="FFFF0000"/>
        <rFont val="Calibri"/>
        <family val="2"/>
        <scheme val="minor"/>
      </rPr>
      <t xml:space="preserve">NO CUMPLE  EN EL NUMERAL 3.5, </t>
    </r>
    <r>
      <rPr>
        <sz val="11"/>
        <color theme="1"/>
        <rFont val="Calibri"/>
        <family val="2"/>
        <scheme val="minor"/>
      </rPr>
      <t xml:space="preserve">TENIENDO EN CUENTA QUE EL OBJETO DEBE TENER LAS SIGUIENTE CARACTERISTICAS: PROYECTOS
DE CONSTRUCCIÓN O MEJORAMIENTO O REHABILITACIÓN DE VÍAS URBANAS,PROYECTOS,PROYECTOS DE MANTENIMIENTO DE ESPACIO PÚBLICO
DE CONSTRUCCIÓN O MEJORAMIENTO O REHABILITACIÓN DE VÍAS URBANAS, PROYECTOS DE MANTENIMIENTO DE VIAS URBANAS5/12/2019 PROYECTOS DE
CONSTRUCCIÓN O MEJORAMIENTO O REHABILITACIÓN DE ESPACIO PÚBLICO, </t>
    </r>
    <r>
      <rPr>
        <sz val="11"/>
        <color rgb="FFFF0000"/>
        <rFont val="Calibri"/>
        <family val="2"/>
        <scheme val="minor"/>
      </rPr>
      <t>Y EL CONTRATO APORTADO CORRESPONDE A UNA VIA NACIONAL.</t>
    </r>
  </si>
  <si>
    <t>CONSORCIO LINE 2020</t>
  </si>
  <si>
    <t>PAVIMENTOS TECNICOS ICIA LTDA</t>
  </si>
  <si>
    <t>AREAS CIVILES Y CONSTRUCCIONES LTDA</t>
  </si>
  <si>
    <t>085-2007 ALCALDIA MUNICIPAL DE TUNJA</t>
  </si>
  <si>
    <t>CERTIFICADO DEL SECRETARIO DE CONTRATACION, LICITACIONES Y SUMINISTROS DE LA ALCALDIA MAYOR DE TUNJA- ACTA DE RECIBO FINAL DE OBRA- ACTA DE LIQUIDACION DE OBRA</t>
  </si>
  <si>
    <t>470-2010 CAJA DE VIVIENDA POPULAR</t>
  </si>
  <si>
    <t xml:space="preserve">CERTIFICACION DE LA DIRECTORA GENERAL DE LA CAJA DE VIVIENDA POPULAR- CONTRATO DE OBRA- ACTA DEL CORTE FINAL DE OBRA
</t>
  </si>
  <si>
    <t>004-2012 ALCALDIA MUNICIPAL DE CAJICA</t>
  </si>
  <si>
    <t>CERTIFICADO DEL SECRETARIO DE OBRAS PUBLICAS DEL SECRETRAIO DE CAJICA- ACTA DE RECIBO FINAL DE OBRA</t>
  </si>
  <si>
    <t>COP- 1102013 FONDO DE DESARROLLO LOCAL DE CIUDAD BOLIVAR</t>
  </si>
  <si>
    <t>CERTIFICACION DEL SUSCRITO ALCALDE DE LA LOCALIDAD DE CIUDAD BOLIVAR- ACTA DE RECIBO FINAL</t>
  </si>
  <si>
    <t>CONSTRUSAN INGENIEROS VILES LTDA</t>
  </si>
  <si>
    <t>CPO-086-2011 ALCALDIA LOCAL DE CIUDAD BOLIVAR</t>
  </si>
  <si>
    <t>ACTA DE LIQUIDACION- ACTA DE RECIBO FINAL DE CONTRATO- CONTRATO DE OBRA- COPIA DEL DOCUEMNTO CONSORCIAL</t>
  </si>
  <si>
    <t>CONSORCIO MALLA VIAL 2019</t>
  </si>
  <si>
    <t>CHM INGENIERA SAS</t>
  </si>
  <si>
    <t>ISAIAS VARGAS GONZALEZ</t>
  </si>
  <si>
    <t>030-2015 ALCALDIA DE PALERMO HUILA</t>
  </si>
  <si>
    <t>ISAIAS VARGAS GONZALEZ
CHM INGENIERA SAS</t>
  </si>
  <si>
    <t>ACTA DE LIQUIDACION-CERTIFICACION DEL SECTARIO GENERAL Y DE PARTICIPACION COMUNITARIA DEL MUNICIPIO DE PALERMO HUILA- COPIA DEL DOCUMENTO CONSORCIAL</t>
  </si>
  <si>
    <t>010-2015 MUNICIPIO DEL AGRADO HUILA</t>
  </si>
  <si>
    <t>COPIA DEL CONTRATO DE OBRA/ ACTA FINAL</t>
  </si>
  <si>
    <t xml:space="preserve"> </t>
  </si>
  <si>
    <t>ESTUDIOS E INGENIERIA SAS</t>
  </si>
  <si>
    <t>075-2016 FONDO DE DESARROLLO LOCAL DE BARRIOS UNIDOS</t>
  </si>
  <si>
    <t>CERTIFICACION DEL ALCALDE LOCAL DE BARRIOS UNIDOS ENCARGADO/ ACTA DE RECIBO FINAL DE OBRA/ COPIA DE ACTA CONSORCIAL/ COPIA DEL CONTRATO</t>
  </si>
  <si>
    <t>ICCU-1174-2017 DEL INSTITUTO DE CONCESIONES DE CUNDINAMARCA</t>
  </si>
  <si>
    <t>ACTA DE LIQUIDACION/ ACTA DE RECIBO DE CANTIDADES FINALES DE OBRA/ COPIA DEL DOCUMENTO CONSORCIAL Y COPIA DEL CONTRATO</t>
  </si>
  <si>
    <t>CONSORCIO OBRAS DE INFRAESTRUCTURA VIAL</t>
  </si>
  <si>
    <t>INFRAESTRUCTURA Y CONSULTORIA</t>
  </si>
  <si>
    <t>INACON SAS</t>
  </si>
  <si>
    <t>316-2011 MUNICIPIO DE TOCANCIPA</t>
  </si>
  <si>
    <t xml:space="preserve">ACTA DE LIQUIDACION/ CERTIFICACION CONFORMACION DE LA UNION TEMPORAL.
</t>
  </si>
  <si>
    <t>379-2015 MUNICIPIO DE SANTA MARTHA</t>
  </si>
  <si>
    <t xml:space="preserve">ACTA DE LIQUIDACION/ CERTIFICACION CONFORMACION DE LA UNION TEMPORAL/ ACTA DE RECIBO FINAL
</t>
  </si>
  <si>
    <t>DOBLE A INGENIERIA SAS</t>
  </si>
  <si>
    <t>1825-2013 INSTITUTO DE DESARROLLO URBANO IDU</t>
  </si>
  <si>
    <t xml:space="preserve">1- PARA EL CONTRATO No 1, APORTADO POR LA EMPRESA EN EL CONSECUTIVO 54 DEL RUP, NO CORRESPONDEN LOS SALARIOS MINIMOS CONSIGNADO EN EL CUADRO DE EXPERIENCIA.
2- SE DEBE ANEXAR </t>
  </si>
  <si>
    <t>54-2003 INSTITUTO DE DESARROLLO URBANO IDU</t>
  </si>
  <si>
    <t>ACTA DE LIQUIDACION DEL CONTRATO/ ACTA DE RECIBO FINAL/ DOCUMENTO CONSORCIAL</t>
  </si>
  <si>
    <t>1- PARA EL CONTRATO No 2, APORTADO POR LA EMPRESA EN EL CONSECUTIVO 18 DEL RUP, NO CORRESPONDEN LOS SALARIOS MINIMOS CONSIGNADO EN EL CUADRO DE EXPERIENCIA.</t>
  </si>
  <si>
    <t>142-1994 INSTITUTO DE DESARROLLO URBANO IDU</t>
  </si>
  <si>
    <t>CERTIFICACION DE LA DIRECTORA TECNICA LEGAL DEL INSTITUTO DE DESARROLLO URBANO IDU</t>
  </si>
  <si>
    <t>071-1994 INSTITUTO DE DESARROLLO URBANO IDU</t>
  </si>
  <si>
    <t>CERTIFICACION DEL SUBDIRECTOR DE OBRAS, DEL INSTITUTO DE DESARROLLO URBANO IDU/ ACTA DE RECIBO DE OBRA</t>
  </si>
  <si>
    <t>SF-1-01-7000-477-2000 DE LA EAAB</t>
  </si>
  <si>
    <t>CERTIFICACION DE LA EMPRESA DEL ACUEDUCTO EAAB</t>
  </si>
  <si>
    <t>038-2009 INSTITUTO DE DESARROLLO URBANO IDU</t>
  </si>
  <si>
    <t>ACTA DE RECIBO FINAL DE OBRA/ ACTA DE LIQUIDACION</t>
  </si>
  <si>
    <t>+</t>
  </si>
  <si>
    <t>CON &amp; CON SAS</t>
  </si>
  <si>
    <t>034-2014 FONDO DE DESARROLLO LOCAL LOCALIDAD DE BOSA</t>
  </si>
  <si>
    <t>CERTIFICACION DE LA ALCALDESA LOCAL DE BOSA/ ACTA DE RECIBO FINAL</t>
  </si>
  <si>
    <t>070-2013  FONDO LOCAL DE TUNJUELITO</t>
  </si>
  <si>
    <t>CERTIFICACION ALCALDE LOCAL DE TUNJUELITO/ ACTA DE RECIBO FINAL</t>
  </si>
  <si>
    <t>019-2015 FONDO DE DESARROLLO LOCAL DE ENGATIVA</t>
  </si>
  <si>
    <t>COPIA DEL CONTRATO/ ACTA DE TERMINACION DEL ACTA DE OBRA</t>
  </si>
  <si>
    <t>COP-137-2013 FONDO DE DESARROLLO LOCAL DE CIUDAD BOLIVAR</t>
  </si>
  <si>
    <t>MODELO DE CONFORMACION DEL CONSORCIO/ ACTA DE ENTREGA Y RECIBO FINAL A SATISFACCION DEL CONSORCIO/ ACTA DE LIQUIDACION DEL CONTRATO DE OBRA PUBLICA</t>
  </si>
  <si>
    <t>INCOPÁV</t>
  </si>
  <si>
    <t>CONSORCIO MARTIRES SZ</t>
  </si>
  <si>
    <t>PROPONENTE 6:</t>
  </si>
  <si>
    <t>REDES Y EDIFICACIONES S.A.</t>
  </si>
  <si>
    <t>FABIO ARTURO GOMEZ SANABRIA</t>
  </si>
  <si>
    <t>895-2013</t>
  </si>
  <si>
    <t>RYE SA</t>
  </si>
  <si>
    <t>1843-2014</t>
  </si>
  <si>
    <t>PROPONENTE 7:</t>
  </si>
  <si>
    <t>CONSORCIO MARTIRES GL 134</t>
  </si>
  <si>
    <t xml:space="preserve">GAMA INGENIEROS ARQUITECTOS S.A.S. </t>
  </si>
  <si>
    <t>CONSTRUCCIONES E INVERSIONES LJ S.A.S</t>
  </si>
  <si>
    <t>1206-2014</t>
  </si>
  <si>
    <t>GAMA INGENIEROS ARQUITECTOS S.A.S</t>
  </si>
  <si>
    <t>1897-204</t>
  </si>
  <si>
    <t xml:space="preserve">
GAMA INGENIEROS ARQUITECTOS S.A.S</t>
  </si>
  <si>
    <t>PROPONENTE 8:</t>
  </si>
  <si>
    <t>8. CONSORCIO VIAS MARTIRES 2025</t>
  </si>
  <si>
    <t>BERNARDO ANCIZAR OSSA LOPEZ</t>
  </si>
  <si>
    <t>BOL INGENIEROS ARQUITECTOSSA</t>
  </si>
  <si>
    <t>ACTA DE LIQUIDACION</t>
  </si>
  <si>
    <t>L16-099-2013</t>
  </si>
  <si>
    <t>BERNARDO ANCIZAR OSSA LOPEZ/BOL INGENIEROSARQUITECTOS</t>
  </si>
  <si>
    <t>129/32</t>
  </si>
  <si>
    <t>113-2004</t>
  </si>
  <si>
    <t>120-2012</t>
  </si>
  <si>
    <t>94/23</t>
  </si>
  <si>
    <t>237-2004</t>
  </si>
  <si>
    <t>CERTIFICACION DE OBRA</t>
  </si>
  <si>
    <t>PROPONENTE 9:</t>
  </si>
  <si>
    <t>9. INCITECO S.A.S.</t>
  </si>
  <si>
    <t xml:space="preserve">R/LPASTOR LÓPEZ GÓMEZ </t>
  </si>
  <si>
    <t>110-2016</t>
  </si>
  <si>
    <t xml:space="preserve"> INCITECO S.A.S.</t>
  </si>
  <si>
    <t>ACTA LIQUIDACION</t>
  </si>
  <si>
    <t>105-2015</t>
  </si>
  <si>
    <t>CERTIFICACION</t>
  </si>
  <si>
    <t>059-2014</t>
  </si>
  <si>
    <t>117-2006</t>
  </si>
  <si>
    <t>009-2011</t>
  </si>
  <si>
    <t>001-2013</t>
  </si>
  <si>
    <t>PROPONENTE 10:</t>
  </si>
  <si>
    <t>10. LYDCO INGENIERIA S.A.S</t>
  </si>
  <si>
    <t>098-2015</t>
  </si>
  <si>
    <t>LYDCO INGENIERIA S.A.S</t>
  </si>
  <si>
    <t>125-2015</t>
  </si>
  <si>
    <t xml:space="preserve"> CONSORCIO MARTIRES GL 134</t>
  </si>
  <si>
    <t>CONSORCIO VIAS MARTIRES 2025</t>
  </si>
  <si>
    <t>INCITECO S.A.S.</t>
  </si>
  <si>
    <t>CONSOLIDADO EVALUACION DEFINITIVO FACTORES HABILITANTES  - NOVIEMBRE 29 DE 2019 INFORME PRELIMINAR</t>
  </si>
  <si>
    <t>PROPUESTA #</t>
  </si>
  <si>
    <t>NOMBRE PROPONENTE</t>
  </si>
  <si>
    <t>KR</t>
  </si>
  <si>
    <t>EXPERIENCIA</t>
  </si>
  <si>
    <t>LP 134 DE 2019  INFORME PRELIMINAR "CONTRATAR A PRECIOS UNITARIOS FIJOS POR LA MODALIDAD DE MONTO AGOTABLE, LAS OBRAS Y ACTIVIDADES PARA LA CONSERVACION DE LA MALLA VIAL Y ESPACIO PUBLICO DE LA LOCALIDAD DE LOS MARTIRES"</t>
  </si>
  <si>
    <t xml:space="preserve">LP 134 DE 2019 </t>
  </si>
  <si>
    <t>CALIDAD</t>
  </si>
  <si>
    <t>ESPECIFICAS EN CADA CASO</t>
  </si>
  <si>
    <t>LUIS EDUARDO GUITIERREZ DIAZ GRANADOS</t>
  </si>
  <si>
    <t>NO APORTA</t>
  </si>
  <si>
    <t>NO PRESENTE MEJOR INGRESO OPERACIONAL, DEBE SUBSANAR.</t>
  </si>
  <si>
    <t>INDETERM</t>
  </si>
  <si>
    <t>EL PROPONENTE  COURVI INGENIERIA S.A.S NO PRESENTE MEJOR INGRESO OPERACIONAL Y NO PRESENTA BALANCES A 31/12/2018, EL CONSORCIADO AVINCO APORTA BALANCE DEL AÑO 2017. VER ITEM 3.9.1.</t>
  </si>
  <si>
    <t xml:space="preserve">NO SE PUEDE CALCULAR, YA QUE EL CONSORCIADO SOLVER, APORTA EL BALANCE A 31/12/2018 ILEGIBLE, DEBE SUBSANAR </t>
  </si>
  <si>
    <t>NO ES LEGIBLE</t>
  </si>
  <si>
    <t>QUE DE ACUERDO AL SEGMENTO 72 VERIFICADO LOS VALORES NO COINSIDEN CON LOS DEL RUP</t>
  </si>
  <si>
    <t>LINA JISSELA MURCIA CUELLAR</t>
  </si>
  <si>
    <t>FORMATOS DE EXPERIENCIA, K RESIDUAL NO SON LEGIBLES. Y mejor ingreso operacional</t>
  </si>
  <si>
    <t>S&amp;S INGENIERA CIVIL SAS</t>
  </si>
  <si>
    <t xml:space="preserve">1-NO ANEXO EL DOCUMENTO DEL MEJOR INGRESO OPERACIONAL DE LOS ULTIMOS CINCO AÑOS.
2-SE DEBE SUBSANAR EL FORMATO DEL ANEXO 5A-1 DE S&amp;S INGENIERA CIVIL SAS,  CERTIFICACION DE CONTRATOS PARA ACREDITACION DE EXPERIENCIA, DEBIDO A QUE A PARTIR DEL CONTRATO No 27 DEL RUP NO CONCUERDA CON LOS SALARIOS SMML. 
3- SE DEBE RELACIONAR TODOS LOS CONTRATOS INSCRITOS EN EL RUP HASTA EL CONSECUTIVO No 38, DEBIDO A QUE EN EL ANEXO 1A- CERTIFICACION DE CONTRATOS PARA LA ACREDITACION DE EXPERIENCIA, SOLO SE RELACIONO HASTA EL 30.
4-CORREGIR A PARTIR DEL CONTRATO No 29, DEBIDO A QUE NO CONCUERDA CON LOS SALARIOS SMML. 
</t>
  </si>
  <si>
    <t>ZIGURAT INGENIERA SAS</t>
  </si>
  <si>
    <t>1-NO SE PUEDE CALCULAR EL K RESIDUAL, SE DEBE SUBSANAR  EL ANEXO 2.2 EL PERSONAL QUE SE ENCUENTRA LABORANDO CON EL PROPONENTE DE VAREGO SAS Y  EQUIPOS Y CONSTRUCCIONES VAREGO SAS.
2-SE DEBE ADJUNTAR EL ANEXO 2, CERTIFICACION SOBRE CONTRATOS DE OBRA EN EJECUCION.
3-SE DEBE  ADJUNTAR, EL ANEXO 2.1 CERTIFICACION DE CONTRATOS PARA LA ACREDITACION DE EXPERIENCIA PARA LA CAPACIDAD RESIDUAL.</t>
  </si>
  <si>
    <t xml:space="preserve">1-NO ANEXO EL DOCUMENTO DEL MEJOR INGRESO OPERACIONAL DEL AÑO, DEL MEJOR INGRESO OPERACIONAL.
2-SE DEBE SUBSANAR EL FORMATO DEL ANEXO 1A, CERTIFICACION DE CONTRATOS PARA ACREDITACION DE EXPERIENCIA, DEBIDO A QUE A PARTIR DEL NUMERO DE CONSECUTIVO No 6 DEL RUP NO CONCUERDA CON LOS SALARIOS SMML. </t>
  </si>
  <si>
    <t>1- PARA PAVIMENTOS TECNICOS ICIA LTDA, SE DEBE PRESENTAR EL FORMATO 5, CAPACIDAD RESIDUAL DE CONTRATACION EN SMMLV.
2- PARA AREAS CIVILES Y CONSTRUCCIONES LTDA, SE DEBE PRESENTAR  EL FORMATO DONDE INDIQUE EL NUMERO DE CONSECUTIVO EN EL RUP Y VALOR SMMLV.</t>
  </si>
  <si>
    <t>1- SE DEBE  ADJUNTAR, EL ANEXO 2.1 CERTIFICACION DE CONTRATOS PARA LA ACREDITACION DE EXPERIENCIA PARA LA CAPACIDAD RESIDUAL.</t>
  </si>
  <si>
    <t>1-CHM INGENIERA SAS, NO ANEXO EL DOCUMENTO DEL MEJOR INGRESO OPERACIONAL DE LOS ULTIMOS CINCO AÑOS, SUBSANAR.
2-ISAIAS VARGAS GONZALEZ, NO ANEXO EL DOCUMENTO DEL MEJOR INGRESO OPERACIONAL DE LOS ULTIMOS CINCO AÑOS, SUBSANAR.</t>
  </si>
  <si>
    <t>1- EN EL FORMATO 5,2 CAPACIDAD RESIDUAL, DEBE ANEXAR UNA COLUMNA CON EL CONSECUTIVO DE REGISTRO DEL RUP, Y EL VALOR EN SMMLV.</t>
  </si>
  <si>
    <t xml:space="preserve">
1-SE DEBE ANEXAR EN EL FORMATO 5.1 CONTRATOS PARA ACREDITACION DE EXPERIENCIA, PARA LA EMPRESA INFRAESTRUCTURA Y CONSULTORIA, SE DEBE PRESENTAR  EL FORMATO DONDE INDIQUE EL NUMERO DE CONSECUTIVO EN EL RUP Y VALOR SMMLV.
1-SE DEBE ANEXAR EN EL FORMATO 5.1 CONTRATOS PARA ACREDITACION DE EXPERIENCIA, PARA LA EMPRESA INACON SAS, SE DEBE PRESENTAR  EL FORMATO DONDE INDIQUE EL NUMERO DE CONSECUTIVO EN EL RUP Y VALOR SMMLV.</t>
  </si>
  <si>
    <t>1-COMPLEMENTAR EN EL FORMATO 5.1 CERTIFICACION DE CONTRATOS PARA LA ACREDITACION DE EXPERIENCIA DE CAPACIDAD RESIDUAL DE CONTRATACION, CON EL NUMERO DEL CONSECUTIVO EN EL RUP.</t>
  </si>
  <si>
    <t>CON Y CON SAS</t>
  </si>
  <si>
    <t>AG3 INGENIERIA SAS</t>
  </si>
  <si>
    <t>SE REQUIERE QUE EN LOS FORMATOS PRESENTADOS PARA EL CALULO DE LA CAPACIDAD RESIDUAL, SE ENVIEN LOS CONTRATOS RELACIONADOS DEL SEGMENTO 72, DE MANERA INDIVUDUAL Y ORGANIZADA, en su totalidad los documentos relacionados en el numeral 3,10,2</t>
  </si>
  <si>
    <t>Se solicita aportar para CAFYRO CONSTRUCCIONES SAS: Estado de resultados integral, Certificación de los Estados Financieros, Dictamen del Revisor Fiscal, en su totalidad los documentos relacionados en el numeral 3,10,2. Asi mismo se solicita enviar la documentacion solicitada de manera organizada</t>
  </si>
  <si>
    <t>Se solicita aportar estado de resultados integral, Certificación de los Estados Financieros, Dictamen del Revisor Fiscal, en su totalidad los documentos relacionados en el numeral 3,10,2 Asi mismo se solicita enviar la documentacion solicitada de manera organizada</t>
  </si>
  <si>
    <t>SE DEBE MODIFICAR EL FORMATO, DE ACUERDO A LO ESTIPULADO EN EL ITEM 3.10.2, LITERAL D CAPACIDAD TECNICA
SE SOLICITA MODIFICAR EL FORMATO 5,1 EXPERIENCIA EN LA ACTIVIDAD RELACIONADA EN LA COLUMNA: Contratos relacionados con la actividad de la construcción - segmento 72 Clasificador  UNSPSC la número 4 columna Participación del proponente en el contratista plural no es 50%, en RUP aparece 49,50%</t>
  </si>
  <si>
    <t>HRM INGENIERIA SAS</t>
  </si>
  <si>
    <t>SE DEBE MODIFICAR EL FORMATO 5.1 EN LA  COLUMNA: Contratos relacionados con la actividad de la construcción - segmento 72 Clasificador  UNSPSC, la número 9 no corresponde es 13, y los porcentajes relacionados en columna Participación del proponente revisar la 18, 19, 20, 27 y 29 segun RUP ES OTRO PORCENTAJE
Adjuntar dictamen de revisor fiscal HMR ING SAS
EN RUP DE JESUS ELQUIN HERNANDEZ ROJAS no se observa la actividad numero 13 y 43, adicional se debe colocar el porcentaje que aparece en el RUP para la actividad No. 11</t>
  </si>
  <si>
    <t xml:space="preserve">NO CUMPLE DEBIDO A QUE LA INFORMACION REGISTRADA EN EL RUP NO COINCIDE CON LA CLASIFICACION DEL SEGMENTO 72, NO ADJUNTA CONTRATOS EN EJECUCION </t>
  </si>
  <si>
    <t>LUIS GERMAN VILLAVECES URIBE (RL)</t>
  </si>
  <si>
    <t>NO ANEXAN INFORMACION DE LOS CONTRATOS EN EJECUCION</t>
  </si>
  <si>
    <t>VERIFICAR LAS CERTIFICACIONES DE LOS PROFESIONALES PRESENTADOS POR LA JUNTA CENTRAL DE CONTADORES, TENIENDO EN CUENTA QUE NO SE ENCUENTRA VIGENTE LA CERTIFICACION A LA FECHA DE CIERRE DEL PROCESO.
SE DEBE CUMPLIR CON LO REQUERIDO EN EL NUMERAL 3.10.2 LITERAL A CAPACIDAD ORGANIZACIONAL</t>
  </si>
  <si>
    <t>SE DEBE ESPECIFICAR CUAL ES EL MEJOR INGRESO OPERACIONAL
VERIFICAR LAS CERTIFICACIONES DE LOS PROFESIONALES PRESENTADOS POR LA JUNTA CENTRAL DE CONTADORES, TENIENDO EN CUENTA QUE NO SE ENCUENTRA VIGENTE LA CERTIFICACION A LA FECHA DE CIERRE DEL PROCESO.
SE DEBE CUMPLIR CON LO REQUERIDO EN EL NUMERAL 3.10.2 LITERAL A CAPACIDAD ORGANIZACIONAL</t>
  </si>
  <si>
    <t>WILVER FRANCINY RUSSY</t>
  </si>
  <si>
    <t>EN LA EXPETRIENCIA CTO SEGMENTO 72 SE DEBE SUBSANAR EL PORCENTAJE DEL CONTRATO 21 REPORTADO EN EL RUP Y LAS CANTIDADES DE SALARIOS MINISMOS DE LOS CONTRATOS 90 91 Y 92 REPORTADOS EN EL RUP</t>
  </si>
  <si>
    <t xml:space="preserve">SE DEBE ANEXAR EN EL FORMATO 5.1 CONTRATOS PARA ACREDITACION DE EXPERIENCIA, PARA LA EMPRESA PROICAM Y INGEDEUR, SE DEBE PRESENTAR EL FORMATO DONDE INDIQUE EL NUMERO DE CONSECUTIVO EN EL RUP Y VALOR EN SMMLV, DEBE SUBSANAR </t>
  </si>
  <si>
    <t>N/A</t>
  </si>
  <si>
    <t>SE DEBE CORREGIR EL FORMATO 5,1 CONTRATOS POR ACREDITACION EN LOS ITEMS 24 Y 25 YA QUE LOS SALARIOS NO CORRESPONDEN AL ACTUAL, SUBSANAR</t>
  </si>
  <si>
    <t xml:space="preserve">NO CUMPLE </t>
  </si>
  <si>
    <t xml:space="preserve">PROFESIONAL FDLM </t>
  </si>
  <si>
    <t>NOTA:</t>
  </si>
  <si>
    <t>ESTA PONDERACION ES VALIDA PARA LOS OFERENTES HABILTADOS Y QUE SE SUBSANEN LOS REQUISITOS REQUERIDOS</t>
  </si>
</sst>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42" formatCode="_-&quot;$&quot;* #,##0_-;\-&quot;$&quot;* #,##0_-;_-&quot;$&quot;* &quot;-&quot;_-;_-@_-"/>
    <numFmt numFmtId="41" formatCode="_-* #,##0_-;\-* #,##0_-;_-* &quot;-&quot;_-;_-@_-"/>
    <numFmt numFmtId="164" formatCode="&quot;$&quot;\ #,##0.00;[Red]\-&quot;$&quot;\ #,##0.00"/>
    <numFmt numFmtId="165" formatCode="_-&quot;$&quot;\ * #,##0_-;\-&quot;$&quot;\ * #,##0_-;_-&quot;$&quot;\ * &quot;-&quot;_-;_-@_-"/>
    <numFmt numFmtId="166" formatCode="_(&quot;$&quot;\ * #,##0.00_);_(&quot;$&quot;\ * \(#,##0.00\);_(&quot;$&quot;\ * &quot;-&quot;??_);_(@_)"/>
    <numFmt numFmtId="167" formatCode="_(* #,##0.00_);_(* \(#,##0.00\);_(* &quot;-&quot;??_);_(@_)"/>
    <numFmt numFmtId="168" formatCode="_-[$$-240A]\ * #,##0.00_-;\-[$$-240A]\ * #,##0.00_-;_-[$$-240A]\ * &quot;-&quot;??_-;_-@_-"/>
    <numFmt numFmtId="169" formatCode="_-&quot;$&quot;\ * #,##0.00_-;\-&quot;$&quot;\ * #,##0.00_-;_-&quot;$&quot;\ * &quot;-&quot;_-;_-@_-"/>
    <numFmt numFmtId="170" formatCode="_-* #,##0.00_-;\-* #,##0.00_-;_-* &quot;-&quot;_-;_-@_-"/>
    <numFmt numFmtId="171" formatCode="_([$$-240A]\ * #,##0.00_);_([$$-240A]\ * \(#,##0.00\);_([$$-240A]\ * &quot;-&quot;??_);_(@_)"/>
    <numFmt numFmtId="172" formatCode="_-* #,##0.0_-;\-* #,##0.0_-;_-* &quot;-&quot;_-;_-@_-"/>
    <numFmt numFmtId="173" formatCode="&quot;$&quot;\ #,##0"/>
    <numFmt numFmtId="174" formatCode="_(&quot;$&quot;* #,##0_);_(&quot;$&quot;* \(#,##0\);_(&quot;$&quot;* &quot;-&quot;??_);_(@_)"/>
  </numFmts>
  <fonts count="41" x14ac:knownFonts="1">
    <font>
      <sz val="11"/>
      <color theme="1"/>
      <name val="Calibri"/>
      <family val="2"/>
      <scheme val="minor"/>
    </font>
    <font>
      <b/>
      <sz val="11"/>
      <color theme="1"/>
      <name val="Calibri"/>
      <family val="2"/>
      <scheme val="minor"/>
    </font>
    <font>
      <sz val="11"/>
      <color theme="1"/>
      <name val="Arial"/>
      <family val="2"/>
    </font>
    <font>
      <b/>
      <sz val="11"/>
      <color theme="1"/>
      <name val="Arial"/>
      <family val="2"/>
    </font>
    <font>
      <sz val="11"/>
      <color theme="1"/>
      <name val="Calibri"/>
      <family val="2"/>
      <scheme val="minor"/>
    </font>
    <font>
      <sz val="10"/>
      <color theme="1"/>
      <name val="Calibri"/>
      <family val="2"/>
      <scheme val="minor"/>
    </font>
    <font>
      <b/>
      <sz val="14"/>
      <color theme="1"/>
      <name val="Calibri"/>
      <family val="2"/>
      <scheme val="minor"/>
    </font>
    <font>
      <b/>
      <sz val="8"/>
      <color theme="1"/>
      <name val="Calibri"/>
      <family val="2"/>
      <scheme val="minor"/>
    </font>
    <font>
      <sz val="9"/>
      <color theme="1"/>
      <name val="Calibri"/>
      <family val="2"/>
      <scheme val="minor"/>
    </font>
    <font>
      <b/>
      <sz val="9"/>
      <color indexed="81"/>
      <name val="Tahoma"/>
      <family val="2"/>
    </font>
    <font>
      <sz val="9"/>
      <color indexed="81"/>
      <name val="Tahoma"/>
      <family val="2"/>
    </font>
    <font>
      <b/>
      <sz val="12"/>
      <color theme="1"/>
      <name val="Calibri"/>
      <family val="2"/>
      <scheme val="minor"/>
    </font>
    <font>
      <sz val="12"/>
      <color theme="1"/>
      <name val="Calibri"/>
      <family val="2"/>
      <scheme val="minor"/>
    </font>
    <font>
      <b/>
      <sz val="18"/>
      <color theme="1"/>
      <name val="Calibri"/>
      <family val="2"/>
      <scheme val="minor"/>
    </font>
    <font>
      <b/>
      <sz val="11"/>
      <color theme="1"/>
      <name val="Arial Narrow"/>
      <family val="2"/>
    </font>
    <font>
      <b/>
      <sz val="16"/>
      <color theme="1"/>
      <name val="Calibri"/>
      <family val="2"/>
      <scheme val="minor"/>
    </font>
    <font>
      <b/>
      <sz val="10"/>
      <color theme="1"/>
      <name val="Arial"/>
      <family val="2"/>
    </font>
    <font>
      <b/>
      <sz val="24"/>
      <color theme="1"/>
      <name val="Arial"/>
      <family val="2"/>
    </font>
    <font>
      <b/>
      <sz val="9.1"/>
      <color theme="1"/>
      <name val="Arial"/>
      <family val="2"/>
    </font>
    <font>
      <b/>
      <sz val="14"/>
      <color theme="1"/>
      <name val="Arial"/>
      <family val="2"/>
    </font>
    <font>
      <b/>
      <sz val="16"/>
      <color theme="1"/>
      <name val="Arial"/>
      <family val="2"/>
    </font>
    <font>
      <sz val="14"/>
      <color theme="1"/>
      <name val="Arial"/>
      <family val="2"/>
    </font>
    <font>
      <b/>
      <sz val="16"/>
      <color theme="1"/>
      <name val="Arial Narrow"/>
      <family val="2"/>
    </font>
    <font>
      <sz val="16"/>
      <color theme="1"/>
      <name val="Arial"/>
      <family val="2"/>
    </font>
    <font>
      <sz val="14"/>
      <color theme="1"/>
      <name val="Calibri"/>
      <family val="2"/>
      <scheme val="minor"/>
    </font>
    <font>
      <sz val="14"/>
      <color rgb="FFFF0000"/>
      <name val="Arial"/>
      <family val="2"/>
    </font>
    <font>
      <b/>
      <sz val="22"/>
      <color theme="1"/>
      <name val="Arial Narrow"/>
      <family val="2"/>
    </font>
    <font>
      <b/>
      <sz val="10"/>
      <color theme="1"/>
      <name val="Calibri"/>
      <family val="2"/>
      <scheme val="minor"/>
    </font>
    <font>
      <sz val="14"/>
      <name val="Arial"/>
      <family val="2"/>
    </font>
    <font>
      <sz val="11"/>
      <name val="Calibri"/>
      <family val="2"/>
      <scheme val="minor"/>
    </font>
    <font>
      <sz val="11"/>
      <color rgb="FFFF0000"/>
      <name val="Calibri"/>
      <family val="2"/>
      <scheme val="minor"/>
    </font>
    <font>
      <sz val="11"/>
      <name val="Arial Narrow"/>
      <family val="2"/>
    </font>
    <font>
      <b/>
      <sz val="11"/>
      <name val="Calibri"/>
      <family val="2"/>
      <scheme val="minor"/>
    </font>
    <font>
      <sz val="10"/>
      <name val="Arial"/>
      <family val="2"/>
    </font>
    <font>
      <sz val="8"/>
      <name val="Arial Narrow"/>
      <family val="2"/>
    </font>
    <font>
      <b/>
      <sz val="8"/>
      <name val="Arial Narrow"/>
      <family val="2"/>
    </font>
    <font>
      <b/>
      <sz val="20"/>
      <color theme="1"/>
      <name val="Calibri"/>
      <family val="2"/>
      <scheme val="minor"/>
    </font>
    <font>
      <sz val="10"/>
      <name val="Calibri"/>
      <family val="2"/>
      <scheme val="minor"/>
    </font>
    <font>
      <sz val="8"/>
      <color theme="1"/>
      <name val="Calibri"/>
      <family val="2"/>
      <scheme val="minor"/>
    </font>
    <font>
      <sz val="10"/>
      <color rgb="FFFF0000"/>
      <name val="Calibri"/>
      <family val="2"/>
      <scheme val="minor"/>
    </font>
    <font>
      <b/>
      <u/>
      <sz val="10"/>
      <color theme="1"/>
      <name val="Calibri"/>
      <family val="2"/>
      <scheme val="minor"/>
    </font>
  </fonts>
  <fills count="16">
    <fill>
      <patternFill patternType="none"/>
    </fill>
    <fill>
      <patternFill patternType="gray125"/>
    </fill>
    <fill>
      <patternFill patternType="solid">
        <fgColor rgb="FFD9D9D9"/>
        <bgColor indexed="64"/>
      </patternFill>
    </fill>
    <fill>
      <patternFill patternType="solid">
        <fgColor theme="0" tint="-0.14999847407452621"/>
        <bgColor indexed="64"/>
      </patternFill>
    </fill>
    <fill>
      <patternFill patternType="solid">
        <fgColor rgb="FF00B0F0"/>
        <bgColor indexed="64"/>
      </patternFill>
    </fill>
    <fill>
      <patternFill patternType="solid">
        <fgColor rgb="FF92D050"/>
        <bgColor indexed="64"/>
      </patternFill>
    </fill>
    <fill>
      <patternFill patternType="solid">
        <fgColor theme="0" tint="-4.9989318521683403E-2"/>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rgb="FFFFFF00"/>
        <bgColor indexed="64"/>
      </patternFill>
    </fill>
    <fill>
      <patternFill patternType="solid">
        <fgColor theme="0" tint="-0.249977111117893"/>
        <bgColor indexed="64"/>
      </patternFill>
    </fill>
    <fill>
      <patternFill patternType="solid">
        <fgColor theme="0"/>
        <bgColor indexed="64"/>
      </patternFill>
    </fill>
    <fill>
      <patternFill patternType="solid">
        <fgColor indexed="9"/>
        <bgColor indexed="64"/>
      </patternFill>
    </fill>
    <fill>
      <patternFill patternType="solid">
        <fgColor rgb="FFFFFFCC"/>
        <bgColor indexed="64"/>
      </patternFill>
    </fill>
  </fills>
  <borders count="6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bottom/>
      <diagonal/>
    </border>
    <border>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right style="double">
        <color indexed="64"/>
      </right>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bottom/>
      <diagonal/>
    </border>
    <border>
      <left style="medium">
        <color indexed="64"/>
      </left>
      <right style="medium">
        <color indexed="64"/>
      </right>
      <top/>
      <bottom/>
      <diagonal/>
    </border>
    <border>
      <left style="thin">
        <color indexed="64"/>
      </left>
      <right/>
      <top/>
      <bottom/>
      <diagonal/>
    </border>
    <border>
      <left/>
      <right/>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
      <left/>
      <right/>
      <top style="thin">
        <color indexed="64"/>
      </top>
      <bottom/>
      <diagonal/>
    </border>
    <border>
      <left/>
      <right/>
      <top style="thin">
        <color indexed="64"/>
      </top>
      <bottom style="medium">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style="double">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double">
        <color auto="1"/>
      </right>
      <top style="dotted">
        <color auto="1"/>
      </top>
      <bottom style="dotted">
        <color auto="1"/>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top style="thin">
        <color indexed="64"/>
      </top>
      <bottom/>
      <diagonal/>
    </border>
    <border>
      <left style="medium">
        <color indexed="64"/>
      </left>
      <right/>
      <top/>
      <bottom style="thin">
        <color indexed="64"/>
      </bottom>
      <diagonal/>
    </border>
    <border>
      <left style="medium">
        <color indexed="64"/>
      </left>
      <right style="thin">
        <color indexed="64"/>
      </right>
      <top/>
      <bottom style="medium">
        <color indexed="64"/>
      </bottom>
      <diagonal/>
    </border>
    <border>
      <left style="thin">
        <color indexed="64"/>
      </left>
      <right/>
      <top style="thin">
        <color indexed="64"/>
      </top>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s>
  <cellStyleXfs count="9">
    <xf numFmtId="0" fontId="0" fillId="0" borderId="0"/>
    <xf numFmtId="41" fontId="4" fillId="0" borderId="0" applyFont="0" applyFill="0" applyBorder="0" applyAlignment="0" applyProtection="0"/>
    <xf numFmtId="42" fontId="4" fillId="0" borderId="0" applyFont="0" applyFill="0" applyBorder="0" applyAlignment="0" applyProtection="0"/>
    <xf numFmtId="165" fontId="4" fillId="0" borderId="0" applyFont="0" applyFill="0" applyBorder="0" applyAlignment="0" applyProtection="0"/>
    <xf numFmtId="166" fontId="4" fillId="0" borderId="0" applyFont="0" applyFill="0" applyBorder="0" applyAlignment="0" applyProtection="0"/>
    <xf numFmtId="9" fontId="4" fillId="0" borderId="0" applyFont="0" applyFill="0" applyBorder="0" applyAlignment="0" applyProtection="0"/>
    <xf numFmtId="0" fontId="33" fillId="0" borderId="0"/>
    <xf numFmtId="9" fontId="33" fillId="0" borderId="0" applyFont="0" applyFill="0" applyBorder="0" applyAlignment="0" applyProtection="0"/>
    <xf numFmtId="165" fontId="4" fillId="0" borderId="0" applyFont="0" applyFill="0" applyBorder="0" applyAlignment="0" applyProtection="0"/>
  </cellStyleXfs>
  <cellXfs count="413">
    <xf numFmtId="0" fontId="0" fillId="0" borderId="0" xfId="0"/>
    <xf numFmtId="0" fontId="2" fillId="0" borderId="0" xfId="0" applyFont="1" applyAlignment="1">
      <alignment wrapText="1"/>
    </xf>
    <xf numFmtId="0" fontId="0" fillId="0" borderId="1" xfId="0" applyBorder="1" applyAlignment="1">
      <alignment horizontal="center" vertical="center"/>
    </xf>
    <xf numFmtId="165" fontId="0" fillId="0" borderId="0" xfId="3" applyFont="1" applyFill="1"/>
    <xf numFmtId="169" fontId="0" fillId="0" borderId="0" xfId="3" applyNumberFormat="1" applyFont="1" applyFill="1"/>
    <xf numFmtId="165" fontId="0" fillId="0" borderId="0" xfId="3" applyFont="1" applyFill="1" applyBorder="1" applyAlignment="1">
      <alignment horizontal="justify" vertical="center"/>
    </xf>
    <xf numFmtId="169" fontId="0" fillId="0" borderId="0" xfId="3" applyNumberFormat="1" applyFont="1" applyFill="1" applyBorder="1" applyAlignment="1">
      <alignment horizontal="justify" vertical="center"/>
    </xf>
    <xf numFmtId="0" fontId="1"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0" fontId="5" fillId="0" borderId="0" xfId="0" applyFont="1" applyFill="1" applyAlignment="1">
      <alignment vertical="center"/>
    </xf>
    <xf numFmtId="0" fontId="5" fillId="0" borderId="0" xfId="0" applyFont="1" applyFill="1"/>
    <xf numFmtId="9" fontId="5" fillId="0" borderId="0" xfId="0" applyNumberFormat="1" applyFont="1" applyFill="1" applyAlignment="1">
      <alignment horizontal="center"/>
    </xf>
    <xf numFmtId="165" fontId="5" fillId="0" borderId="0" xfId="3" applyFont="1" applyFill="1"/>
    <xf numFmtId="0" fontId="5" fillId="0" borderId="0" xfId="0" applyFont="1" applyFill="1" applyAlignment="1">
      <alignment horizontal="center"/>
    </xf>
    <xf numFmtId="169" fontId="5" fillId="0" borderId="0" xfId="3" applyNumberFormat="1" applyFont="1" applyFill="1"/>
    <xf numFmtId="165" fontId="0" fillId="0" borderId="0" xfId="3" applyFont="1"/>
    <xf numFmtId="169" fontId="0" fillId="0" borderId="0" xfId="3" applyNumberFormat="1" applyFont="1"/>
    <xf numFmtId="0" fontId="1" fillId="0" borderId="1" xfId="0" applyFont="1" applyBorder="1" applyAlignment="1">
      <alignment horizontal="center" vertical="center"/>
    </xf>
    <xf numFmtId="0" fontId="11" fillId="0" borderId="0" xfId="0" applyFont="1"/>
    <xf numFmtId="0" fontId="12" fillId="0" borderId="0" xfId="0" applyFont="1"/>
    <xf numFmtId="0" fontId="0" fillId="0" borderId="0" xfId="0" applyAlignment="1">
      <alignment vertical="center"/>
    </xf>
    <xf numFmtId="0" fontId="1" fillId="0" borderId="1" xfId="0" applyFont="1" applyBorder="1" applyAlignment="1">
      <alignment horizontal="center" vertical="center" wrapText="1"/>
    </xf>
    <xf numFmtId="0" fontId="0" fillId="0" borderId="0" xfId="0" applyAlignment="1">
      <alignment horizontal="center" vertical="center"/>
    </xf>
    <xf numFmtId="0" fontId="1" fillId="0" borderId="0" xfId="0" applyFont="1" applyAlignment="1">
      <alignment vertical="center"/>
    </xf>
    <xf numFmtId="170" fontId="0" fillId="0" borderId="1" xfId="0" applyNumberFormat="1" applyBorder="1" applyAlignment="1">
      <alignment vertical="center"/>
    </xf>
    <xf numFmtId="170" fontId="1" fillId="0" borderId="1" xfId="1" applyNumberFormat="1" applyFont="1" applyBorder="1" applyAlignment="1">
      <alignment vertical="center"/>
    </xf>
    <xf numFmtId="2" fontId="1" fillId="0" borderId="1" xfId="0" applyNumberFormat="1" applyFont="1" applyBorder="1" applyAlignment="1">
      <alignment vertical="center"/>
    </xf>
    <xf numFmtId="0" fontId="0" fillId="0" borderId="0" xfId="0" applyAlignment="1">
      <alignment horizontal="left" vertical="center"/>
    </xf>
    <xf numFmtId="0" fontId="1" fillId="0" borderId="0" xfId="0" applyFont="1" applyAlignment="1">
      <alignment horizontal="center" vertical="center" wrapText="1"/>
    </xf>
    <xf numFmtId="9" fontId="0" fillId="0" borderId="0" xfId="0" applyNumberFormat="1" applyAlignment="1">
      <alignment vertical="center"/>
    </xf>
    <xf numFmtId="168" fontId="0" fillId="0" borderId="0" xfId="0" applyNumberFormat="1" applyAlignment="1">
      <alignment vertical="center"/>
    </xf>
    <xf numFmtId="41" fontId="0" fillId="0" borderId="0" xfId="1" applyFont="1" applyAlignment="1">
      <alignment vertical="center"/>
    </xf>
    <xf numFmtId="0" fontId="1" fillId="0" borderId="1" xfId="0" applyFont="1" applyBorder="1" applyAlignment="1">
      <alignment horizontal="center" vertical="center"/>
    </xf>
    <xf numFmtId="0" fontId="0" fillId="0" borderId="0" xfId="0" applyFont="1" applyBorder="1" applyAlignment="1">
      <alignment horizontal="left" vertical="center"/>
    </xf>
    <xf numFmtId="0" fontId="0" fillId="0" borderId="0" xfId="0" applyBorder="1" applyAlignment="1">
      <alignment horizontal="center" vertical="center"/>
    </xf>
    <xf numFmtId="0" fontId="0" fillId="0" borderId="0" xfId="0" applyFont="1" applyBorder="1" applyAlignment="1">
      <alignment horizontal="left" vertical="center" wrapText="1"/>
    </xf>
    <xf numFmtId="0" fontId="0" fillId="3" borderId="1" xfId="0" applyFill="1" applyBorder="1" applyAlignment="1">
      <alignment horizontal="center" vertical="center"/>
    </xf>
    <xf numFmtId="42" fontId="0" fillId="3" borderId="1" xfId="2" applyFont="1" applyFill="1" applyBorder="1" applyAlignment="1">
      <alignment horizontal="center" vertical="center"/>
    </xf>
    <xf numFmtId="170" fontId="0" fillId="3" borderId="1" xfId="1" applyNumberFormat="1" applyFont="1" applyFill="1" applyBorder="1" applyAlignment="1">
      <alignment vertical="center"/>
    </xf>
    <xf numFmtId="0" fontId="1" fillId="0" borderId="0" xfId="0" applyFont="1" applyBorder="1" applyAlignment="1">
      <alignment horizontal="center" vertical="center"/>
    </xf>
    <xf numFmtId="166" fontId="1" fillId="0" borderId="1" xfId="4" applyFont="1" applyBorder="1" applyAlignment="1">
      <alignment vertical="center"/>
    </xf>
    <xf numFmtId="2" fontId="1" fillId="0" borderId="0" xfId="0" applyNumberFormat="1" applyFont="1" applyBorder="1" applyAlignment="1">
      <alignment vertical="center"/>
    </xf>
    <xf numFmtId="0" fontId="1" fillId="5" borderId="1" xfId="0" applyFont="1" applyFill="1" applyBorder="1" applyAlignment="1">
      <alignment horizontal="center" vertical="center"/>
    </xf>
    <xf numFmtId="170" fontId="1" fillId="5" borderId="1" xfId="1" applyNumberFormat="1" applyFont="1" applyFill="1" applyBorder="1" applyAlignment="1">
      <alignment vertical="center"/>
    </xf>
    <xf numFmtId="167" fontId="1" fillId="5" borderId="1" xfId="4" applyNumberFormat="1" applyFont="1" applyFill="1" applyBorder="1" applyAlignment="1">
      <alignment vertical="center"/>
    </xf>
    <xf numFmtId="0" fontId="11" fillId="8" borderId="14" xfId="0" applyFont="1" applyFill="1" applyBorder="1" applyAlignment="1">
      <alignment horizontal="center" vertical="center"/>
    </xf>
    <xf numFmtId="0" fontId="14" fillId="0" borderId="8" xfId="0" applyFont="1" applyBorder="1" applyAlignment="1">
      <alignment horizontal="center" vertical="center" wrapText="1"/>
    </xf>
    <xf numFmtId="0" fontId="14" fillId="0" borderId="10" xfId="0" applyFont="1" applyBorder="1" applyAlignment="1">
      <alignment horizontal="center" vertical="center" wrapText="1"/>
    </xf>
    <xf numFmtId="0" fontId="2" fillId="0" borderId="0" xfId="0" applyFont="1" applyAlignment="1">
      <alignment horizontal="center" wrapText="1"/>
    </xf>
    <xf numFmtId="0" fontId="6" fillId="0" borderId="0" xfId="0" applyFont="1" applyFill="1" applyBorder="1" applyAlignment="1">
      <alignment horizontal="center"/>
    </xf>
    <xf numFmtId="0" fontId="14" fillId="0" borderId="23" xfId="0" applyFont="1" applyBorder="1" applyAlignment="1">
      <alignment horizontal="center" vertical="center" wrapText="1"/>
    </xf>
    <xf numFmtId="0" fontId="3" fillId="0" borderId="0" xfId="0" applyFont="1" applyAlignment="1">
      <alignment horizontal="center" vertical="center" wrapText="1"/>
    </xf>
    <xf numFmtId="0" fontId="3" fillId="0" borderId="4" xfId="0" applyFont="1" applyBorder="1" applyAlignment="1">
      <alignment horizontal="center" vertical="center" wrapText="1"/>
    </xf>
    <xf numFmtId="0" fontId="14" fillId="0" borderId="4" xfId="0" applyFont="1" applyBorder="1" applyAlignment="1">
      <alignment horizontal="center" vertical="center" wrapText="1"/>
    </xf>
    <xf numFmtId="0" fontId="3" fillId="0" borderId="38" xfId="0" applyFont="1" applyBorder="1" applyAlignment="1">
      <alignment horizontal="center" vertical="center" wrapText="1"/>
    </xf>
    <xf numFmtId="0" fontId="22" fillId="2" borderId="30" xfId="0" applyFont="1" applyFill="1" applyBorder="1" applyAlignment="1">
      <alignment horizontal="center" vertical="center" wrapText="1"/>
    </xf>
    <xf numFmtId="0" fontId="22" fillId="2" borderId="31" xfId="0" applyFont="1" applyFill="1" applyBorder="1" applyAlignment="1">
      <alignment horizontal="center" vertical="center" wrapText="1"/>
    </xf>
    <xf numFmtId="0" fontId="23" fillId="0" borderId="0" xfId="0" applyFont="1" applyAlignment="1">
      <alignment horizontal="center" wrapText="1"/>
    </xf>
    <xf numFmtId="0" fontId="14" fillId="0" borderId="4" xfId="0" applyFont="1" applyBorder="1" applyAlignment="1">
      <alignment horizontal="justify" vertical="center" wrapText="1"/>
    </xf>
    <xf numFmtId="0" fontId="21" fillId="0" borderId="0" xfId="0" applyFont="1" applyAlignment="1">
      <alignment wrapText="1"/>
    </xf>
    <xf numFmtId="0" fontId="24" fillId="0" borderId="0" xfId="0" applyFont="1"/>
    <xf numFmtId="0" fontId="19" fillId="9" borderId="6" xfId="0" applyFont="1" applyFill="1" applyBorder="1" applyAlignment="1">
      <alignment horizontal="center" vertical="center" wrapText="1"/>
    </xf>
    <xf numFmtId="0" fontId="26" fillId="0" borderId="4" xfId="0" applyFont="1" applyBorder="1" applyAlignment="1">
      <alignment horizontal="center" vertical="center" wrapText="1"/>
    </xf>
    <xf numFmtId="0" fontId="11" fillId="0" borderId="33" xfId="0" applyFont="1" applyBorder="1" applyAlignment="1">
      <alignment horizontal="left" vertical="center"/>
    </xf>
    <xf numFmtId="0" fontId="12" fillId="0" borderId="34" xfId="0" applyFont="1" applyBorder="1"/>
    <xf numFmtId="0" fontId="12" fillId="0" borderId="35" xfId="0" applyFont="1" applyBorder="1"/>
    <xf numFmtId="0" fontId="11" fillId="4" borderId="44" xfId="0" applyFont="1" applyFill="1" applyBorder="1" applyAlignment="1">
      <alignment horizontal="center" vertical="center" wrapText="1"/>
    </xf>
    <xf numFmtId="0" fontId="11" fillId="7" borderId="6" xfId="0" applyFont="1" applyFill="1" applyBorder="1" applyAlignment="1">
      <alignment horizontal="justify" vertical="center"/>
    </xf>
    <xf numFmtId="9" fontId="11" fillId="7" borderId="40" xfId="0" applyNumberFormat="1" applyFont="1" applyFill="1" applyBorder="1" applyAlignment="1">
      <alignment horizontal="center" vertical="center"/>
    </xf>
    <xf numFmtId="0" fontId="11" fillId="7" borderId="7" xfId="0" applyFont="1" applyFill="1" applyBorder="1" applyAlignment="1">
      <alignment horizontal="justify" vertical="center"/>
    </xf>
    <xf numFmtId="0" fontId="0" fillId="0" borderId="0" xfId="0" applyFont="1" applyFill="1"/>
    <xf numFmtId="9" fontId="0" fillId="0" borderId="0" xfId="0" applyNumberFormat="1" applyFont="1" applyFill="1" applyAlignment="1">
      <alignment horizontal="center"/>
    </xf>
    <xf numFmtId="0" fontId="0" fillId="0" borderId="0" xfId="0" applyFont="1" applyFill="1" applyAlignment="1">
      <alignment horizontal="center"/>
    </xf>
    <xf numFmtId="0" fontId="0" fillId="0" borderId="0" xfId="0" applyFont="1"/>
    <xf numFmtId="0" fontId="0" fillId="0" borderId="0" xfId="0" applyFont="1" applyFill="1" applyBorder="1"/>
    <xf numFmtId="0" fontId="0" fillId="0" borderId="0" xfId="0" applyFont="1" applyFill="1" applyBorder="1" applyAlignment="1">
      <alignment horizontal="justify" vertical="center"/>
    </xf>
    <xf numFmtId="1" fontId="0" fillId="0" borderId="0" xfId="0" applyNumberFormat="1" applyFont="1" applyFill="1" applyBorder="1" applyAlignment="1">
      <alignment horizontal="center" vertical="center"/>
    </xf>
    <xf numFmtId="0" fontId="0" fillId="0" borderId="0" xfId="0" applyFont="1" applyFill="1" applyBorder="1" applyAlignment="1">
      <alignment horizontal="center" vertical="center"/>
    </xf>
    <xf numFmtId="0" fontId="0" fillId="0" borderId="0" xfId="0" applyFont="1" applyBorder="1"/>
    <xf numFmtId="0" fontId="0" fillId="0" borderId="1" xfId="0" applyFont="1" applyFill="1" applyBorder="1" applyAlignment="1">
      <alignment horizontal="center" vertical="center"/>
    </xf>
    <xf numFmtId="0" fontId="0" fillId="0" borderId="12" xfId="0" applyFont="1" applyFill="1" applyBorder="1"/>
    <xf numFmtId="0" fontId="0" fillId="0" borderId="12" xfId="0" applyFont="1" applyFill="1" applyBorder="1" applyAlignment="1">
      <alignment horizontal="center"/>
    </xf>
    <xf numFmtId="9" fontId="0" fillId="0" borderId="0" xfId="0" applyNumberFormat="1" applyFont="1" applyAlignment="1">
      <alignment horizontal="center"/>
    </xf>
    <xf numFmtId="0" fontId="0" fillId="0" borderId="0" xfId="0" applyFont="1" applyAlignment="1">
      <alignment horizontal="center"/>
    </xf>
    <xf numFmtId="9" fontId="0" fillId="0" borderId="1" xfId="0" applyNumberFormat="1" applyFont="1" applyFill="1" applyBorder="1" applyAlignment="1">
      <alignment horizontal="center" vertical="center"/>
    </xf>
    <xf numFmtId="2" fontId="0" fillId="0" borderId="1" xfId="0" applyNumberFormat="1" applyFont="1" applyFill="1" applyBorder="1" applyAlignment="1">
      <alignment horizontal="center" vertical="center"/>
    </xf>
    <xf numFmtId="0" fontId="0" fillId="0" borderId="1" xfId="0" applyFont="1" applyFill="1" applyBorder="1" applyAlignment="1">
      <alignment horizontal="justify" vertical="center"/>
    </xf>
    <xf numFmtId="0" fontId="0" fillId="0" borderId="1" xfId="0" applyFont="1" applyFill="1" applyBorder="1" applyAlignment="1">
      <alignment horizontal="justify" vertical="center" wrapText="1"/>
    </xf>
    <xf numFmtId="0" fontId="8" fillId="0" borderId="1"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1" fillId="0" borderId="0" xfId="0" applyFont="1" applyBorder="1" applyAlignment="1">
      <alignment horizontal="center" vertical="center"/>
    </xf>
    <xf numFmtId="0" fontId="11" fillId="4" borderId="5" xfId="0" applyFont="1" applyFill="1" applyBorder="1" applyAlignment="1">
      <alignment horizontal="center" vertical="center" wrapText="1"/>
    </xf>
    <xf numFmtId="0" fontId="0" fillId="0" borderId="1" xfId="0" applyFill="1" applyBorder="1" applyAlignment="1">
      <alignment horizontal="center" vertical="center" wrapText="1"/>
    </xf>
    <xf numFmtId="0" fontId="0" fillId="0" borderId="1" xfId="0" applyFill="1" applyBorder="1" applyAlignment="1">
      <alignment horizontal="center" vertical="center"/>
    </xf>
    <xf numFmtId="0" fontId="5" fillId="0" borderId="1" xfId="0" applyFont="1" applyFill="1" applyBorder="1" applyAlignment="1">
      <alignment horizontal="center" vertical="center" wrapText="1"/>
    </xf>
    <xf numFmtId="4" fontId="0" fillId="0" borderId="1" xfId="0" applyNumberFormat="1" applyFill="1" applyBorder="1" applyAlignment="1">
      <alignment horizontal="center" vertical="center"/>
    </xf>
    <xf numFmtId="171" fontId="0" fillId="0" borderId="1" xfId="1" applyNumberFormat="1" applyFont="1" applyFill="1" applyBorder="1" applyAlignment="1">
      <alignment vertical="center"/>
    </xf>
    <xf numFmtId="2" fontId="0" fillId="0" borderId="1" xfId="0" applyNumberFormat="1" applyFill="1" applyBorder="1" applyAlignment="1">
      <alignment horizontal="center" vertical="center" wrapText="1"/>
    </xf>
    <xf numFmtId="0" fontId="0" fillId="0" borderId="1" xfId="0" applyFill="1" applyBorder="1" applyAlignment="1">
      <alignment vertical="center" wrapText="1"/>
    </xf>
    <xf numFmtId="0" fontId="0" fillId="0" borderId="1" xfId="0" applyBorder="1" applyAlignment="1">
      <alignment horizontal="center" vertical="center" wrapText="1"/>
    </xf>
    <xf numFmtId="164" fontId="0" fillId="0" borderId="1" xfId="0" applyNumberFormat="1" applyFill="1" applyBorder="1" applyAlignment="1">
      <alignment horizontal="center" vertical="center"/>
    </xf>
    <xf numFmtId="170" fontId="0" fillId="3" borderId="1" xfId="1" applyNumberFormat="1" applyFont="1" applyFill="1" applyBorder="1" applyAlignment="1">
      <alignment horizontal="center" vertical="center"/>
    </xf>
    <xf numFmtId="0" fontId="27" fillId="0" borderId="0" xfId="0" applyFont="1" applyFill="1" applyAlignment="1">
      <alignment vertical="center"/>
    </xf>
    <xf numFmtId="9" fontId="11" fillId="7" borderId="45" xfId="0" applyNumberFormat="1" applyFont="1" applyFill="1" applyBorder="1" applyAlignment="1">
      <alignment horizontal="center" vertical="center"/>
    </xf>
    <xf numFmtId="170" fontId="0" fillId="0" borderId="1" xfId="0" applyNumberFormat="1" applyBorder="1" applyAlignment="1">
      <alignment horizontal="center" vertical="center" wrapText="1"/>
    </xf>
    <xf numFmtId="0" fontId="0" fillId="0" borderId="1" xfId="0" applyFont="1" applyBorder="1" applyAlignment="1">
      <alignment horizontal="center" vertical="center" wrapText="1"/>
    </xf>
    <xf numFmtId="10" fontId="0" fillId="0" borderId="1" xfId="0" applyNumberFormat="1" applyFill="1" applyBorder="1" applyAlignment="1">
      <alignment horizontal="center" vertical="center" wrapText="1"/>
    </xf>
    <xf numFmtId="0" fontId="1" fillId="0" borderId="0" xfId="0" applyFont="1" applyBorder="1" applyAlignment="1">
      <alignment horizontal="center" vertical="center"/>
    </xf>
    <xf numFmtId="0" fontId="1" fillId="0" borderId="0" xfId="0" applyFont="1" applyBorder="1" applyAlignment="1">
      <alignment horizontal="center" vertical="center"/>
    </xf>
    <xf numFmtId="0" fontId="28" fillId="9" borderId="46" xfId="0" applyFont="1" applyFill="1" applyBorder="1" applyAlignment="1">
      <alignment horizontal="center" vertical="center" wrapText="1"/>
    </xf>
    <xf numFmtId="0" fontId="21" fillId="9" borderId="14" xfId="0" applyFont="1" applyFill="1" applyBorder="1" applyAlignment="1">
      <alignment horizontal="center" vertical="center" wrapText="1"/>
    </xf>
    <xf numFmtId="0" fontId="21" fillId="9" borderId="1" xfId="0" applyFont="1" applyFill="1" applyBorder="1" applyAlignment="1">
      <alignment vertical="center" wrapText="1"/>
    </xf>
    <xf numFmtId="0" fontId="28" fillId="9" borderId="1" xfId="0" applyFont="1" applyFill="1" applyBorder="1" applyAlignment="1">
      <alignment horizontal="center" vertical="center" wrapText="1"/>
    </xf>
    <xf numFmtId="0" fontId="21" fillId="9" borderId="40" xfId="0" applyFont="1" applyFill="1" applyBorder="1" applyAlignment="1">
      <alignment horizontal="center" vertical="center" wrapText="1"/>
    </xf>
    <xf numFmtId="0" fontId="21" fillId="9" borderId="45" xfId="0" applyFont="1" applyFill="1" applyBorder="1" applyAlignment="1">
      <alignment horizontal="center" vertical="center" wrapText="1"/>
    </xf>
    <xf numFmtId="0" fontId="14" fillId="10" borderId="48" xfId="0" applyFont="1" applyFill="1" applyBorder="1" applyAlignment="1">
      <alignment horizontal="center" vertical="center" wrapText="1"/>
    </xf>
    <xf numFmtId="0" fontId="21" fillId="9" borderId="1" xfId="0" applyFont="1" applyFill="1" applyBorder="1" applyAlignment="1">
      <alignment horizontal="center" vertical="center" wrapText="1"/>
    </xf>
    <xf numFmtId="0" fontId="21" fillId="9" borderId="1" xfId="0" applyFont="1" applyFill="1" applyBorder="1" applyAlignment="1">
      <alignment wrapText="1"/>
    </xf>
    <xf numFmtId="0" fontId="21" fillId="9" borderId="1" xfId="0" applyFont="1" applyFill="1" applyBorder="1" applyAlignment="1">
      <alignment horizontal="center" wrapText="1"/>
    </xf>
    <xf numFmtId="0" fontId="21" fillId="9" borderId="1" xfId="0" applyFont="1" applyFill="1" applyBorder="1" applyAlignment="1">
      <alignment horizontal="center" wrapText="1"/>
    </xf>
    <xf numFmtId="0" fontId="19" fillId="9" borderId="5" xfId="0" applyFont="1" applyFill="1" applyBorder="1" applyAlignment="1">
      <alignment horizontal="center" vertical="center" wrapText="1"/>
    </xf>
    <xf numFmtId="0" fontId="19" fillId="9" borderId="7" xfId="0" applyFont="1" applyFill="1" applyBorder="1" applyAlignment="1">
      <alignment horizontal="center" vertical="center" wrapText="1"/>
    </xf>
    <xf numFmtId="0" fontId="21" fillId="9" borderId="47" xfId="0" applyFont="1" applyFill="1" applyBorder="1" applyAlignment="1">
      <alignment horizontal="center" vertical="center" wrapText="1"/>
    </xf>
    <xf numFmtId="0" fontId="11" fillId="4" borderId="5" xfId="0" applyFont="1" applyFill="1" applyBorder="1" applyAlignment="1">
      <alignment horizontal="center" vertical="center"/>
    </xf>
    <xf numFmtId="0" fontId="11" fillId="7" borderId="45" xfId="0" applyFont="1" applyFill="1" applyBorder="1" applyAlignment="1">
      <alignment horizontal="justify" vertical="center"/>
    </xf>
    <xf numFmtId="170" fontId="1" fillId="3" borderId="1" xfId="1" applyNumberFormat="1" applyFont="1" applyFill="1" applyBorder="1" applyAlignment="1">
      <alignment horizontal="center" vertical="center"/>
    </xf>
    <xf numFmtId="172" fontId="0" fillId="0" borderId="1" xfId="1" applyNumberFormat="1" applyFont="1" applyFill="1" applyBorder="1" applyAlignment="1">
      <alignment vertical="center"/>
    </xf>
    <xf numFmtId="2" fontId="29" fillId="0" borderId="1" xfId="0" applyNumberFormat="1" applyFont="1" applyFill="1" applyBorder="1" applyAlignment="1">
      <alignment horizontal="center" vertical="center" wrapText="1"/>
    </xf>
    <xf numFmtId="0" fontId="29" fillId="0" borderId="1" xfId="0" applyFont="1" applyFill="1" applyBorder="1" applyAlignment="1">
      <alignment vertical="center" wrapText="1"/>
    </xf>
    <xf numFmtId="172" fontId="0" fillId="0" borderId="1" xfId="0" applyNumberFormat="1" applyFont="1" applyBorder="1" applyAlignment="1">
      <alignment vertical="center"/>
    </xf>
    <xf numFmtId="0" fontId="0" fillId="0" borderId="1" xfId="0" applyBorder="1" applyAlignment="1">
      <alignment vertical="center"/>
    </xf>
    <xf numFmtId="0" fontId="0" fillId="0" borderId="1" xfId="0" applyBorder="1" applyAlignment="1">
      <alignment vertical="center" wrapText="1"/>
    </xf>
    <xf numFmtId="172" fontId="0" fillId="0" borderId="1" xfId="1" applyNumberFormat="1" applyFont="1" applyFill="1" applyBorder="1" applyAlignment="1">
      <alignment horizontal="center" vertical="center"/>
    </xf>
    <xf numFmtId="0" fontId="29" fillId="0" borderId="1" xfId="0" applyFont="1" applyFill="1" applyBorder="1" applyAlignment="1">
      <alignment horizontal="center" vertical="center" wrapText="1"/>
    </xf>
    <xf numFmtId="0" fontId="29" fillId="0" borderId="1" xfId="0" applyFont="1" applyFill="1" applyBorder="1" applyAlignment="1">
      <alignment horizontal="center" vertical="center"/>
    </xf>
    <xf numFmtId="172" fontId="29" fillId="0" borderId="1" xfId="1" applyNumberFormat="1" applyFont="1" applyFill="1" applyBorder="1" applyAlignment="1">
      <alignment vertical="center"/>
    </xf>
    <xf numFmtId="171" fontId="29" fillId="0" borderId="1" xfId="1" applyNumberFormat="1" applyFont="1" applyFill="1" applyBorder="1" applyAlignment="1">
      <alignment vertical="center"/>
    </xf>
    <xf numFmtId="0" fontId="21" fillId="9" borderId="49" xfId="0" applyFont="1" applyFill="1" applyBorder="1" applyAlignment="1">
      <alignment horizontal="center" wrapText="1"/>
    </xf>
    <xf numFmtId="0" fontId="21" fillId="9" borderId="50" xfId="0" applyFont="1" applyFill="1" applyBorder="1" applyAlignment="1">
      <alignment horizontal="center" wrapText="1"/>
    </xf>
    <xf numFmtId="0" fontId="21" fillId="9" borderId="49" xfId="0" applyFont="1" applyFill="1" applyBorder="1" applyAlignment="1">
      <alignment horizontal="center" vertical="center" wrapText="1"/>
    </xf>
    <xf numFmtId="0" fontId="21" fillId="9" borderId="50" xfId="0" applyFont="1" applyFill="1" applyBorder="1" applyAlignment="1">
      <alignment horizontal="center" vertical="center" wrapText="1"/>
    </xf>
    <xf numFmtId="0" fontId="21" fillId="9" borderId="51" xfId="0" applyFont="1" applyFill="1" applyBorder="1" applyAlignment="1">
      <alignment horizontal="center" vertical="center" wrapText="1"/>
    </xf>
    <xf numFmtId="0" fontId="8" fillId="0" borderId="1" xfId="0" applyFont="1" applyFill="1" applyBorder="1" applyAlignment="1">
      <alignment horizontal="justify" vertical="center"/>
    </xf>
    <xf numFmtId="170" fontId="0" fillId="0" borderId="1" xfId="1" applyNumberFormat="1" applyFont="1" applyFill="1" applyBorder="1" applyAlignment="1">
      <alignment vertical="center"/>
    </xf>
    <xf numFmtId="166" fontId="31" fillId="0" borderId="53" xfId="4" applyFont="1" applyFill="1" applyBorder="1" applyAlignment="1">
      <alignment horizontal="right" vertical="center" wrapText="1"/>
    </xf>
    <xf numFmtId="0" fontId="0" fillId="0" borderId="1" xfId="0" applyFill="1" applyBorder="1" applyAlignment="1">
      <alignment horizontal="center"/>
    </xf>
    <xf numFmtId="2" fontId="0" fillId="0" borderId="1" xfId="1" applyNumberFormat="1" applyFont="1" applyFill="1" applyBorder="1" applyAlignment="1">
      <alignment horizontal="center" vertical="center"/>
    </xf>
    <xf numFmtId="173" fontId="0" fillId="0" borderId="1" xfId="1" applyNumberFormat="1" applyFont="1" applyFill="1" applyBorder="1" applyAlignment="1">
      <alignment horizontal="center" vertical="center"/>
    </xf>
    <xf numFmtId="2" fontId="31" fillId="0" borderId="53" xfId="4" applyNumberFormat="1" applyFont="1" applyFill="1" applyBorder="1" applyAlignment="1">
      <alignment horizontal="center" vertical="center" wrapText="1"/>
    </xf>
    <xf numFmtId="0" fontId="0" fillId="3" borderId="0" xfId="0" applyFill="1" applyAlignment="1">
      <alignment vertical="center"/>
    </xf>
    <xf numFmtId="0" fontId="11" fillId="0" borderId="33" xfId="0" applyFont="1" applyBorder="1" applyAlignment="1">
      <alignment horizontal="center" vertical="center"/>
    </xf>
    <xf numFmtId="0" fontId="0" fillId="0" borderId="0" xfId="0" applyBorder="1" applyAlignment="1">
      <alignment vertical="center"/>
    </xf>
    <xf numFmtId="0" fontId="12" fillId="0" borderId="0" xfId="0" applyFont="1" applyBorder="1"/>
    <xf numFmtId="0" fontId="0" fillId="0" borderId="42" xfId="0" applyBorder="1" applyAlignment="1">
      <alignment horizontal="center" vertical="center"/>
    </xf>
    <xf numFmtId="170" fontId="0" fillId="11" borderId="2" xfId="1" applyNumberFormat="1" applyFont="1" applyFill="1" applyBorder="1" applyAlignment="1">
      <alignment vertical="center"/>
    </xf>
    <xf numFmtId="0" fontId="0" fillId="0" borderId="15" xfId="0" applyBorder="1" applyAlignment="1">
      <alignment horizontal="center" vertical="center"/>
    </xf>
    <xf numFmtId="9" fontId="11" fillId="7" borderId="13" xfId="0" applyNumberFormat="1" applyFont="1" applyFill="1" applyBorder="1" applyAlignment="1">
      <alignment horizontal="center" vertical="center"/>
    </xf>
    <xf numFmtId="0" fontId="11" fillId="7" borderId="60" xfId="0" applyFont="1" applyFill="1" applyBorder="1" applyAlignment="1">
      <alignment horizontal="justify" vertical="center"/>
    </xf>
    <xf numFmtId="2" fontId="0" fillId="0" borderId="1" xfId="0" applyNumberFormat="1" applyFill="1" applyBorder="1" applyAlignment="1">
      <alignment vertical="center" wrapText="1"/>
    </xf>
    <xf numFmtId="0" fontId="8" fillId="0" borderId="1" xfId="0" applyFont="1" applyFill="1" applyBorder="1" applyAlignment="1">
      <alignment horizontal="justify" vertical="center" wrapText="1"/>
    </xf>
    <xf numFmtId="170" fontId="0" fillId="0" borderId="1" xfId="0" applyNumberFormat="1" applyFill="1" applyBorder="1" applyAlignment="1">
      <alignment horizontal="center" vertical="center" wrapText="1"/>
    </xf>
    <xf numFmtId="170" fontId="0" fillId="0" borderId="1" xfId="0" applyNumberFormat="1" applyFill="1" applyBorder="1" applyAlignment="1">
      <alignment vertical="center"/>
    </xf>
    <xf numFmtId="166" fontId="1" fillId="0" borderId="1" xfId="4" applyFont="1" applyFill="1" applyBorder="1" applyAlignment="1">
      <alignment vertical="center"/>
    </xf>
    <xf numFmtId="2" fontId="1" fillId="0" borderId="1" xfId="0" applyNumberFormat="1" applyFont="1" applyFill="1" applyBorder="1" applyAlignment="1">
      <alignment vertical="center"/>
    </xf>
    <xf numFmtId="0" fontId="0" fillId="0" borderId="0" xfId="0" applyFill="1" applyAlignment="1">
      <alignment vertical="center"/>
    </xf>
    <xf numFmtId="0" fontId="1" fillId="11" borderId="1" xfId="0" applyFont="1" applyFill="1" applyBorder="1" applyAlignment="1">
      <alignment horizontal="center" vertical="center"/>
    </xf>
    <xf numFmtId="0" fontId="0" fillId="7" borderId="7" xfId="0" applyFill="1" applyBorder="1" applyAlignment="1">
      <alignment vertical="center"/>
    </xf>
    <xf numFmtId="0" fontId="0" fillId="11" borderId="1" xfId="0" applyFill="1" applyBorder="1" applyAlignment="1">
      <alignment horizontal="center" vertical="center"/>
    </xf>
    <xf numFmtId="0" fontId="21" fillId="9" borderId="51" xfId="0" applyFont="1" applyFill="1" applyBorder="1" applyAlignment="1">
      <alignment horizontal="center" wrapText="1"/>
    </xf>
    <xf numFmtId="0" fontId="21" fillId="9" borderId="2" xfId="0" applyFont="1" applyFill="1" applyBorder="1" applyAlignment="1">
      <alignment horizontal="center" vertical="center" wrapText="1"/>
    </xf>
    <xf numFmtId="0" fontId="21" fillId="9" borderId="61" xfId="0" applyFont="1" applyFill="1" applyBorder="1" applyAlignment="1">
      <alignment horizontal="center" vertical="center" wrapText="1"/>
    </xf>
    <xf numFmtId="0" fontId="11" fillId="0" borderId="5" xfId="0" applyFont="1" applyBorder="1" applyAlignment="1">
      <alignment horizontal="left" vertical="center"/>
    </xf>
    <xf numFmtId="0" fontId="11" fillId="4" borderId="46" xfId="0" applyFont="1" applyFill="1" applyBorder="1" applyAlignment="1">
      <alignment horizontal="center" vertical="center"/>
    </xf>
    <xf numFmtId="0" fontId="11" fillId="4" borderId="46" xfId="0" applyFont="1" applyFill="1" applyBorder="1" applyAlignment="1">
      <alignment horizontal="center" vertical="center" wrapText="1"/>
    </xf>
    <xf numFmtId="0" fontId="12" fillId="0" borderId="6" xfId="0" applyFont="1" applyBorder="1"/>
    <xf numFmtId="9" fontId="11" fillId="7" borderId="1" xfId="0" applyNumberFormat="1" applyFont="1" applyFill="1" applyBorder="1" applyAlignment="1">
      <alignment horizontal="center" vertical="center"/>
    </xf>
    <xf numFmtId="9" fontId="11" fillId="7" borderId="1" xfId="0" applyNumberFormat="1" applyFont="1" applyFill="1" applyBorder="1" applyAlignment="1">
      <alignment horizontal="center" vertical="center" wrapText="1"/>
    </xf>
    <xf numFmtId="0" fontId="12" fillId="0" borderId="7" xfId="0" applyFont="1" applyBorder="1"/>
    <xf numFmtId="9" fontId="11" fillId="7" borderId="47" xfId="0" applyNumberFormat="1" applyFont="1" applyFill="1" applyBorder="1" applyAlignment="1">
      <alignment horizontal="center" vertical="center"/>
    </xf>
    <xf numFmtId="0" fontId="11" fillId="7" borderId="47" xfId="0" applyFont="1" applyFill="1" applyBorder="1" applyAlignment="1">
      <alignment horizontal="justify" vertical="center"/>
    </xf>
    <xf numFmtId="170" fontId="0" fillId="12" borderId="1" xfId="1" applyNumberFormat="1" applyFont="1" applyFill="1" applyBorder="1" applyAlignment="1">
      <alignment horizontal="center" vertical="center"/>
    </xf>
    <xf numFmtId="0" fontId="0" fillId="13" borderId="1" xfId="0" applyFill="1" applyBorder="1" applyAlignment="1">
      <alignment horizontal="center" vertical="center" wrapText="1"/>
    </xf>
    <xf numFmtId="0" fontId="0" fillId="13" borderId="1" xfId="0" applyFill="1" applyBorder="1" applyAlignment="1">
      <alignment horizontal="center" vertical="center"/>
    </xf>
    <xf numFmtId="0" fontId="30" fillId="13" borderId="1" xfId="0" applyFont="1" applyFill="1" applyBorder="1" applyAlignment="1">
      <alignment horizontal="center" vertical="center"/>
    </xf>
    <xf numFmtId="172" fontId="0" fillId="13" borderId="1" xfId="1" applyNumberFormat="1" applyFont="1" applyFill="1" applyBorder="1" applyAlignment="1">
      <alignment vertical="center"/>
    </xf>
    <xf numFmtId="171" fontId="0" fillId="13" borderId="1" xfId="1" applyNumberFormat="1" applyFont="1" applyFill="1" applyBorder="1" applyAlignment="1">
      <alignment vertical="center"/>
    </xf>
    <xf numFmtId="2" fontId="0" fillId="13" borderId="1" xfId="0" applyNumberFormat="1" applyFill="1" applyBorder="1" applyAlignment="1">
      <alignment horizontal="center" vertical="center" wrapText="1"/>
    </xf>
    <xf numFmtId="0" fontId="1" fillId="13" borderId="1" xfId="0" applyFont="1" applyFill="1" applyBorder="1" applyAlignment="1">
      <alignment horizontal="center" vertical="center"/>
    </xf>
    <xf numFmtId="0" fontId="29" fillId="13" borderId="1" xfId="0" applyFont="1" applyFill="1" applyBorder="1" applyAlignment="1">
      <alignment horizontal="center" vertical="center"/>
    </xf>
    <xf numFmtId="0" fontId="0" fillId="3" borderId="1" xfId="0" applyFill="1" applyBorder="1" applyAlignment="1">
      <alignment vertical="center"/>
    </xf>
    <xf numFmtId="0" fontId="11" fillId="0" borderId="5" xfId="0" applyFont="1" applyBorder="1" applyAlignment="1">
      <alignment horizontal="center" vertical="center"/>
    </xf>
    <xf numFmtId="172" fontId="29" fillId="13" borderId="1" xfId="1" applyNumberFormat="1" applyFont="1" applyFill="1" applyBorder="1" applyAlignment="1">
      <alignment vertical="center"/>
    </xf>
    <xf numFmtId="0" fontId="32" fillId="13" borderId="1" xfId="0" applyFont="1" applyFill="1" applyBorder="1" applyAlignment="1">
      <alignment horizontal="center" vertical="center"/>
    </xf>
    <xf numFmtId="0" fontId="29" fillId="13" borderId="1" xfId="0" applyFont="1" applyFill="1" applyBorder="1" applyAlignment="1">
      <alignment horizontal="center" vertical="center" wrapText="1"/>
    </xf>
    <xf numFmtId="171" fontId="29" fillId="13" borderId="1" xfId="1" applyNumberFormat="1" applyFont="1" applyFill="1" applyBorder="1" applyAlignment="1">
      <alignment vertical="center"/>
    </xf>
    <xf numFmtId="2" fontId="29" fillId="13" borderId="1" xfId="0" applyNumberFormat="1" applyFont="1" applyFill="1" applyBorder="1" applyAlignment="1">
      <alignment horizontal="center" vertical="center" wrapText="1"/>
    </xf>
    <xf numFmtId="0" fontId="0" fillId="13" borderId="1" xfId="0" applyFill="1" applyBorder="1" applyAlignment="1">
      <alignment horizontal="left" vertical="center" wrapText="1"/>
    </xf>
    <xf numFmtId="170" fontId="29" fillId="3" borderId="1" xfId="1" applyNumberFormat="1" applyFont="1" applyFill="1" applyBorder="1" applyAlignment="1">
      <alignment horizontal="center" vertical="center"/>
    </xf>
    <xf numFmtId="9" fontId="12" fillId="13" borderId="1" xfId="0" applyNumberFormat="1" applyFont="1" applyFill="1" applyBorder="1" applyAlignment="1">
      <alignment horizontal="center" vertical="center" wrapText="1"/>
    </xf>
    <xf numFmtId="0" fontId="21" fillId="9" borderId="52" xfId="0" applyFont="1" applyFill="1" applyBorder="1" applyAlignment="1">
      <alignment horizontal="center" vertical="center" wrapText="1"/>
    </xf>
    <xf numFmtId="0" fontId="34" fillId="0" borderId="62" xfId="6" applyFont="1" applyBorder="1" applyAlignment="1">
      <alignment horizontal="center" vertical="center" wrapText="1"/>
    </xf>
    <xf numFmtId="9" fontId="35" fillId="0" borderId="63" xfId="7" applyFont="1" applyFill="1" applyBorder="1" applyAlignment="1">
      <alignment horizontal="center" vertical="center" wrapText="1"/>
    </xf>
    <xf numFmtId="0" fontId="34" fillId="14" borderId="62" xfId="6" applyFont="1" applyFill="1" applyBorder="1" applyAlignment="1">
      <alignment horizontal="center" vertical="center"/>
    </xf>
    <xf numFmtId="0" fontId="36" fillId="4" borderId="5" xfId="0" applyFont="1" applyFill="1" applyBorder="1" applyAlignment="1">
      <alignment horizontal="justify" vertical="justify"/>
    </xf>
    <xf numFmtId="0" fontId="27" fillId="7" borderId="6" xfId="0" applyFont="1" applyFill="1" applyBorder="1" applyAlignment="1">
      <alignment horizontal="justify" vertical="center"/>
    </xf>
    <xf numFmtId="0" fontId="27" fillId="7" borderId="7" xfId="0" applyFont="1" applyFill="1" applyBorder="1" applyAlignment="1">
      <alignment horizontal="justify" vertical="center"/>
    </xf>
    <xf numFmtId="9" fontId="34" fillId="0" borderId="62" xfId="7" applyFont="1" applyFill="1" applyBorder="1" applyAlignment="1">
      <alignment horizontal="center" vertical="center" wrapText="1"/>
    </xf>
    <xf numFmtId="170" fontId="0" fillId="0" borderId="0" xfId="0" applyNumberFormat="1" applyAlignment="1">
      <alignment vertical="center"/>
    </xf>
    <xf numFmtId="170" fontId="0" fillId="0" borderId="1" xfId="0" applyNumberFormat="1" applyFont="1" applyBorder="1" applyAlignment="1">
      <alignment vertical="center"/>
    </xf>
    <xf numFmtId="174" fontId="37" fillId="15" borderId="0" xfId="4" applyNumberFormat="1" applyFont="1" applyFill="1" applyBorder="1" applyAlignment="1">
      <alignment horizontal="center" vertical="center" wrapText="1"/>
    </xf>
    <xf numFmtId="14" fontId="37" fillId="15" borderId="0" xfId="0" applyNumberFormat="1" applyFont="1" applyFill="1" applyAlignment="1">
      <alignment horizontal="center" vertical="center" wrapText="1"/>
    </xf>
    <xf numFmtId="0" fontId="37" fillId="15" borderId="0" xfId="0" applyFont="1" applyFill="1" applyAlignment="1">
      <alignment horizontal="center" vertical="center" wrapText="1"/>
    </xf>
    <xf numFmtId="9" fontId="37" fillId="15" borderId="0" xfId="5" applyFont="1" applyFill="1" applyBorder="1" applyAlignment="1">
      <alignment horizontal="center" vertical="center" wrapText="1"/>
    </xf>
    <xf numFmtId="0" fontId="5" fillId="3" borderId="1" xfId="0" applyFont="1" applyFill="1" applyBorder="1" applyAlignment="1">
      <alignment horizontal="center" vertical="center" wrapText="1"/>
    </xf>
    <xf numFmtId="0" fontId="0" fillId="0" borderId="0" xfId="0"/>
    <xf numFmtId="9" fontId="24" fillId="0" borderId="0" xfId="0" applyNumberFormat="1" applyFont="1" applyAlignment="1">
      <alignment horizontal="center" vertical="top"/>
    </xf>
    <xf numFmtId="0" fontId="24" fillId="0" borderId="0" xfId="0" applyFont="1" applyAlignment="1">
      <alignment horizontal="center" vertical="top"/>
    </xf>
    <xf numFmtId="0" fontId="0" fillId="0" borderId="1" xfId="0" applyBorder="1" applyAlignment="1">
      <alignment horizontal="center" vertical="top"/>
    </xf>
    <xf numFmtId="9" fontId="0" fillId="0" borderId="1" xfId="0" applyNumberFormat="1" applyFill="1" applyBorder="1" applyAlignment="1">
      <alignment horizontal="center" vertical="top"/>
    </xf>
    <xf numFmtId="0" fontId="0" fillId="0" borderId="0" xfId="0" applyAlignment="1">
      <alignment horizontal="center" vertical="top"/>
    </xf>
    <xf numFmtId="0" fontId="6" fillId="0" borderId="0" xfId="0" applyFont="1" applyAlignment="1">
      <alignment horizontal="center" vertical="top"/>
    </xf>
    <xf numFmtId="165" fontId="24" fillId="0" borderId="0" xfId="8" applyFont="1" applyAlignment="1">
      <alignment horizontal="center" vertical="top"/>
    </xf>
    <xf numFmtId="0" fontId="0" fillId="0" borderId="1" xfId="0" applyBorder="1" applyAlignment="1">
      <alignment horizontal="left" vertical="top"/>
    </xf>
    <xf numFmtId="0" fontId="0" fillId="0" borderId="1" xfId="0" applyFill="1" applyBorder="1" applyAlignment="1">
      <alignment horizontal="left" vertical="top"/>
    </xf>
    <xf numFmtId="0" fontId="0" fillId="0" borderId="0" xfId="0" applyFill="1"/>
    <xf numFmtId="9" fontId="5" fillId="0" borderId="1" xfId="0" applyNumberFormat="1" applyFont="1" applyFill="1" applyBorder="1" applyAlignment="1">
      <alignment horizontal="center" vertical="center"/>
    </xf>
    <xf numFmtId="169" fontId="5" fillId="0" borderId="1" xfId="3" applyNumberFormat="1" applyFont="1" applyFill="1" applyBorder="1" applyAlignment="1">
      <alignment horizontal="justify" vertical="center"/>
    </xf>
    <xf numFmtId="0" fontId="0" fillId="0" borderId="12" xfId="0" applyFill="1" applyBorder="1"/>
    <xf numFmtId="0" fontId="8" fillId="0" borderId="1" xfId="0" applyFont="1" applyFill="1" applyBorder="1" applyAlignment="1">
      <alignment horizontal="center" vertical="center"/>
    </xf>
    <xf numFmtId="169" fontId="5" fillId="0" borderId="1" xfId="3" applyNumberFormat="1" applyFont="1" applyFill="1" applyBorder="1" applyAlignment="1">
      <alignment horizontal="center" vertical="center" wrapText="1"/>
    </xf>
    <xf numFmtId="0" fontId="5" fillId="0" borderId="1" xfId="0" applyFont="1" applyFill="1" applyBorder="1" applyAlignment="1">
      <alignment horizontal="justify" vertical="center"/>
    </xf>
    <xf numFmtId="0" fontId="0" fillId="0" borderId="0" xfId="0" applyFill="1" applyBorder="1" applyAlignment="1">
      <alignment horizontal="center"/>
    </xf>
    <xf numFmtId="165" fontId="5" fillId="0" borderId="1" xfId="3" applyFont="1" applyFill="1" applyBorder="1" applyAlignment="1">
      <alignment horizontal="justify" vertical="center"/>
    </xf>
    <xf numFmtId="2" fontId="5" fillId="0" borderId="1" xfId="0" applyNumberFormat="1" applyFont="1" applyFill="1" applyBorder="1" applyAlignment="1">
      <alignment horizontal="center" vertical="center"/>
    </xf>
    <xf numFmtId="169" fontId="5" fillId="0" borderId="1" xfId="3" applyNumberFormat="1" applyFont="1" applyFill="1" applyBorder="1" applyAlignment="1">
      <alignment horizontal="center" vertical="center"/>
    </xf>
    <xf numFmtId="0" fontId="0" fillId="0" borderId="12" xfId="0" applyFill="1" applyBorder="1" applyAlignment="1">
      <alignment horizontal="center"/>
    </xf>
    <xf numFmtId="169" fontId="39" fillId="0" borderId="1" xfId="3" applyNumberFormat="1" applyFont="1" applyFill="1" applyBorder="1" applyAlignment="1">
      <alignment vertical="center"/>
    </xf>
    <xf numFmtId="165" fontId="5" fillId="0" borderId="1" xfId="0" applyNumberFormat="1" applyFont="1" applyBorder="1"/>
    <xf numFmtId="0" fontId="5" fillId="0" borderId="1" xfId="0" applyFont="1" applyFill="1" applyBorder="1" applyAlignment="1">
      <alignment horizontal="justify" vertical="center" wrapText="1"/>
    </xf>
    <xf numFmtId="0" fontId="5" fillId="0" borderId="1" xfId="0" applyFont="1" applyFill="1" applyBorder="1" applyAlignment="1">
      <alignment vertical="center"/>
    </xf>
    <xf numFmtId="165" fontId="5" fillId="0" borderId="1" xfId="0" applyNumberFormat="1" applyFont="1" applyBorder="1" applyAlignment="1">
      <alignment vertical="center"/>
    </xf>
    <xf numFmtId="166" fontId="5" fillId="0" borderId="1" xfId="4" applyFont="1" applyFill="1" applyBorder="1" applyAlignment="1">
      <alignment horizontal="center" vertical="center"/>
    </xf>
    <xf numFmtId="0" fontId="38" fillId="0" borderId="1" xfId="0" applyFont="1" applyFill="1" applyBorder="1" applyAlignment="1">
      <alignment horizontal="justify" vertical="center"/>
    </xf>
    <xf numFmtId="0" fontId="8" fillId="0" borderId="1" xfId="0" applyFont="1" applyFill="1" applyBorder="1" applyAlignment="1">
      <alignment horizontal="left" vertical="center"/>
    </xf>
    <xf numFmtId="0" fontId="39" fillId="0" borderId="1" xfId="0" applyFont="1" applyFill="1" applyBorder="1" applyAlignment="1">
      <alignment horizontal="center" vertical="center"/>
    </xf>
    <xf numFmtId="169" fontId="39" fillId="0" borderId="1" xfId="3" applyNumberFormat="1" applyFont="1" applyFill="1" applyBorder="1" applyAlignment="1">
      <alignment horizontal="center" vertical="center"/>
    </xf>
    <xf numFmtId="165" fontId="0" fillId="0" borderId="1" xfId="0" applyNumberFormat="1" applyFont="1" applyFill="1" applyBorder="1" applyAlignment="1">
      <alignment vertical="center"/>
    </xf>
    <xf numFmtId="165" fontId="5" fillId="0" borderId="1" xfId="3" applyFont="1" applyFill="1" applyBorder="1"/>
    <xf numFmtId="165" fontId="5" fillId="0" borderId="1" xfId="3" applyFont="1" applyFill="1" applyBorder="1" applyAlignment="1">
      <alignment horizontal="center" vertical="center"/>
    </xf>
    <xf numFmtId="0" fontId="27" fillId="3" borderId="1" xfId="0" applyFont="1" applyFill="1" applyBorder="1" applyAlignment="1">
      <alignment horizontal="center" vertical="top"/>
    </xf>
    <xf numFmtId="165" fontId="27" fillId="3" borderId="1" xfId="8" applyFont="1" applyFill="1" applyBorder="1" applyAlignment="1">
      <alignment horizontal="center" vertical="top"/>
    </xf>
    <xf numFmtId="169" fontId="39" fillId="0" borderId="1" xfId="3" applyNumberFormat="1" applyFont="1" applyFill="1" applyBorder="1" applyAlignment="1">
      <alignment horizontal="center" vertical="center" wrapText="1"/>
    </xf>
    <xf numFmtId="0" fontId="39" fillId="0" borderId="1" xfId="0" applyFont="1" applyFill="1" applyBorder="1" applyAlignment="1">
      <alignment horizontal="center" vertical="center" wrapText="1"/>
    </xf>
    <xf numFmtId="0" fontId="1" fillId="3" borderId="1" xfId="0" applyFont="1" applyFill="1" applyBorder="1" applyAlignment="1">
      <alignment horizontal="center" vertical="center"/>
    </xf>
    <xf numFmtId="0" fontId="1" fillId="3" borderId="1" xfId="0" applyFont="1" applyFill="1" applyBorder="1" applyAlignment="1">
      <alignment horizontal="center" vertical="center" wrapText="1"/>
    </xf>
    <xf numFmtId="0" fontId="7" fillId="3" borderId="1" xfId="0" applyFont="1" applyFill="1" applyBorder="1" applyAlignment="1">
      <alignment horizontal="center" vertical="center" wrapText="1"/>
    </xf>
    <xf numFmtId="165" fontId="4" fillId="0" borderId="1" xfId="3" applyFont="1" applyFill="1" applyBorder="1" applyAlignment="1">
      <alignment horizontal="center" vertical="center"/>
    </xf>
    <xf numFmtId="164" fontId="0" fillId="0" borderId="1" xfId="0" applyNumberFormat="1" applyFont="1" applyFill="1" applyBorder="1" applyAlignment="1">
      <alignment horizontal="center" vertical="center"/>
    </xf>
    <xf numFmtId="165" fontId="4" fillId="0" borderId="1" xfId="3" applyFont="1" applyFill="1" applyBorder="1" applyAlignment="1">
      <alignment vertical="center"/>
    </xf>
    <xf numFmtId="169" fontId="4" fillId="0" borderId="1" xfId="3" applyNumberFormat="1" applyFont="1" applyFill="1" applyBorder="1" applyAlignment="1">
      <alignment horizontal="justify" vertical="center"/>
    </xf>
    <xf numFmtId="169" fontId="4" fillId="0" borderId="1" xfId="3" applyNumberFormat="1" applyFont="1" applyFill="1" applyBorder="1" applyAlignment="1">
      <alignment horizontal="center" vertical="top" wrapText="1"/>
    </xf>
    <xf numFmtId="165" fontId="4" fillId="0" borderId="1" xfId="3" applyFont="1" applyFill="1" applyBorder="1" applyAlignment="1">
      <alignment horizontal="justify" vertical="center"/>
    </xf>
    <xf numFmtId="165" fontId="4" fillId="0" borderId="1" xfId="3" applyFont="1" applyFill="1" applyBorder="1"/>
    <xf numFmtId="173" fontId="5" fillId="0" borderId="1" xfId="0" applyNumberFormat="1" applyFont="1" applyFill="1" applyBorder="1" applyAlignment="1">
      <alignment horizontal="center" vertical="center"/>
    </xf>
    <xf numFmtId="0" fontId="11" fillId="3" borderId="61" xfId="0" applyFont="1" applyFill="1" applyBorder="1" applyAlignment="1">
      <alignment horizontal="center" vertical="center" wrapText="1"/>
    </xf>
    <xf numFmtId="0" fontId="11" fillId="3" borderId="42" xfId="0" applyFont="1" applyFill="1" applyBorder="1" applyAlignment="1">
      <alignment horizontal="center" vertical="center" wrapText="1"/>
    </xf>
    <xf numFmtId="0" fontId="11" fillId="3" borderId="15" xfId="0" applyFont="1" applyFill="1" applyBorder="1" applyAlignment="1">
      <alignment horizontal="center" vertical="center" wrapText="1"/>
    </xf>
    <xf numFmtId="0" fontId="40" fillId="0" borderId="1" xfId="0" applyFont="1" applyFill="1" applyBorder="1" applyAlignment="1">
      <alignment horizontal="center" vertical="center"/>
    </xf>
    <xf numFmtId="0" fontId="8" fillId="0" borderId="1" xfId="0" applyFont="1" applyFill="1" applyBorder="1" applyAlignment="1">
      <alignment horizontal="center" vertical="center" wrapText="1"/>
    </xf>
    <xf numFmtId="0" fontId="8" fillId="0" borderId="1" xfId="0" applyFont="1" applyFill="1" applyBorder="1" applyAlignment="1">
      <alignment horizontal="center" vertical="center"/>
    </xf>
    <xf numFmtId="169" fontId="39" fillId="0" borderId="2" xfId="3" applyNumberFormat="1" applyFont="1" applyFill="1" applyBorder="1" applyAlignment="1">
      <alignment horizontal="center" vertical="center"/>
    </xf>
    <xf numFmtId="169" fontId="39" fillId="0" borderId="49" xfId="3" applyNumberFormat="1" applyFont="1" applyFill="1" applyBorder="1" applyAlignment="1">
      <alignment horizontal="center" vertical="center"/>
    </xf>
    <xf numFmtId="0" fontId="5" fillId="0" borderId="1" xfId="0" applyFont="1" applyFill="1" applyBorder="1" applyAlignment="1">
      <alignment horizontal="justify" vertical="center"/>
    </xf>
    <xf numFmtId="0" fontId="5" fillId="0" borderId="1" xfId="0" applyFont="1" applyFill="1" applyBorder="1" applyAlignment="1">
      <alignment horizontal="center" vertical="center"/>
    </xf>
    <xf numFmtId="0" fontId="39" fillId="0" borderId="1" xfId="0" applyFont="1" applyFill="1" applyBorder="1" applyAlignment="1">
      <alignment horizontal="center" vertical="center" wrapText="1"/>
    </xf>
    <xf numFmtId="0" fontId="39" fillId="0" borderId="2" xfId="0" applyFont="1" applyFill="1" applyBorder="1" applyAlignment="1">
      <alignment horizontal="center" vertical="center" wrapText="1"/>
    </xf>
    <xf numFmtId="0" fontId="39" fillId="0" borderId="3" xfId="0" applyFont="1" applyFill="1" applyBorder="1" applyAlignment="1">
      <alignment horizontal="center" vertical="center" wrapText="1"/>
    </xf>
    <xf numFmtId="0" fontId="39" fillId="0" borderId="49" xfId="0" applyFont="1" applyFill="1" applyBorder="1" applyAlignment="1">
      <alignment horizontal="center" vertical="center" wrapText="1"/>
    </xf>
    <xf numFmtId="0" fontId="0" fillId="0" borderId="12" xfId="0" applyFill="1" applyBorder="1" applyAlignment="1">
      <alignment horizontal="center"/>
    </xf>
    <xf numFmtId="0" fontId="5" fillId="0" borderId="1" xfId="0" applyFont="1" applyFill="1" applyBorder="1" applyAlignment="1">
      <alignment horizontal="justify" vertical="center" wrapText="1"/>
    </xf>
    <xf numFmtId="169" fontId="39" fillId="0" borderId="1" xfId="3" applyNumberFormat="1" applyFont="1" applyFill="1" applyBorder="1" applyAlignment="1">
      <alignment horizontal="center" vertical="center" wrapText="1"/>
    </xf>
    <xf numFmtId="169" fontId="39" fillId="0" borderId="1" xfId="3" applyNumberFormat="1" applyFont="1" applyFill="1" applyBorder="1" applyAlignment="1">
      <alignment horizontal="center" vertical="center"/>
    </xf>
    <xf numFmtId="0" fontId="5" fillId="0" borderId="1" xfId="0" applyFont="1" applyFill="1" applyBorder="1" applyAlignment="1">
      <alignment horizontal="left" vertical="top" wrapText="1"/>
    </xf>
    <xf numFmtId="0" fontId="5" fillId="0" borderId="1" xfId="0" applyFont="1" applyFill="1" applyBorder="1" applyAlignment="1">
      <alignment horizontal="left" vertical="top"/>
    </xf>
    <xf numFmtId="169" fontId="5" fillId="0" borderId="1" xfId="3" applyNumberFormat="1" applyFont="1" applyFill="1" applyBorder="1" applyAlignment="1">
      <alignment horizontal="center" vertical="center"/>
    </xf>
    <xf numFmtId="0" fontId="39" fillId="0" borderId="1" xfId="0" applyFont="1" applyFill="1" applyBorder="1" applyAlignment="1">
      <alignment horizontal="center" vertical="center"/>
    </xf>
    <xf numFmtId="0" fontId="5" fillId="0" borderId="1" xfId="0" applyFont="1" applyFill="1" applyBorder="1" applyAlignment="1">
      <alignment horizontal="left" vertical="center" wrapText="1"/>
    </xf>
    <xf numFmtId="0" fontId="8" fillId="0" borderId="1" xfId="0" applyFont="1" applyFill="1" applyBorder="1" applyAlignment="1">
      <alignment horizontal="justify" vertical="center"/>
    </xf>
    <xf numFmtId="0" fontId="5" fillId="0" borderId="1"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6" fillId="0" borderId="0" xfId="0" applyFont="1" applyFill="1" applyBorder="1" applyAlignment="1">
      <alignment horizontal="center"/>
    </xf>
    <xf numFmtId="0" fontId="8" fillId="0" borderId="1" xfId="0" applyFont="1" applyFill="1" applyBorder="1" applyAlignment="1">
      <alignment horizontal="justify" vertical="center" wrapText="1"/>
    </xf>
    <xf numFmtId="0" fontId="13" fillId="0" borderId="0" xfId="0" applyFont="1" applyAlignment="1">
      <alignment horizontal="center" vertical="center"/>
    </xf>
    <xf numFmtId="0" fontId="11" fillId="8" borderId="41" xfId="0" applyFont="1" applyFill="1" applyBorder="1" applyAlignment="1">
      <alignment horizontal="center" vertical="center" wrapText="1"/>
    </xf>
    <xf numFmtId="0" fontId="11" fillId="8" borderId="17" xfId="0" applyFont="1" applyFill="1" applyBorder="1" applyAlignment="1">
      <alignment horizontal="center" vertical="center" wrapText="1"/>
    </xf>
    <xf numFmtId="0" fontId="11" fillId="8" borderId="42" xfId="0" applyFont="1" applyFill="1" applyBorder="1" applyAlignment="1">
      <alignment horizontal="center" vertical="center" wrapText="1"/>
    </xf>
    <xf numFmtId="0" fontId="11" fillId="8" borderId="15" xfId="0" applyFont="1" applyFill="1" applyBorder="1" applyAlignment="1">
      <alignment horizontal="center" vertical="center" wrapText="1"/>
    </xf>
    <xf numFmtId="0" fontId="11" fillId="8" borderId="39" xfId="0" applyFont="1" applyFill="1" applyBorder="1" applyAlignment="1">
      <alignment horizontal="center" vertical="center" wrapText="1"/>
    </xf>
    <xf numFmtId="0" fontId="11" fillId="8" borderId="16" xfId="0" applyFont="1" applyFill="1" applyBorder="1" applyAlignment="1">
      <alignment horizontal="center" vertical="center" wrapText="1"/>
    </xf>
    <xf numFmtId="0" fontId="15" fillId="8" borderId="13" xfId="0" applyFont="1" applyFill="1" applyBorder="1" applyAlignment="1">
      <alignment horizontal="center" vertical="center"/>
    </xf>
    <xf numFmtId="0" fontId="15" fillId="8" borderId="18" xfId="0" applyFont="1" applyFill="1" applyBorder="1" applyAlignment="1">
      <alignment horizontal="center" vertical="center"/>
    </xf>
    <xf numFmtId="0" fontId="15" fillId="8" borderId="20" xfId="0" applyFont="1" applyFill="1" applyBorder="1" applyAlignment="1">
      <alignment horizontal="center" vertical="center"/>
    </xf>
    <xf numFmtId="0" fontId="12" fillId="8" borderId="43" xfId="0" applyFont="1" applyFill="1" applyBorder="1" applyAlignment="1">
      <alignment horizontal="center" vertical="center" wrapText="1"/>
    </xf>
    <xf numFmtId="0" fontId="12" fillId="8" borderId="19" xfId="0" applyFont="1" applyFill="1" applyBorder="1" applyAlignment="1">
      <alignment horizontal="center" vertical="center" wrapText="1"/>
    </xf>
    <xf numFmtId="0" fontId="1" fillId="6" borderId="1" xfId="0" applyFont="1" applyFill="1" applyBorder="1" applyAlignment="1">
      <alignment horizontal="center" vertical="center" wrapText="1"/>
    </xf>
    <xf numFmtId="0" fontId="1" fillId="0" borderId="0" xfId="0" applyFont="1" applyBorder="1" applyAlignment="1">
      <alignment horizontal="center" vertical="center"/>
    </xf>
    <xf numFmtId="0" fontId="0" fillId="6" borderId="1" xfId="0" applyFill="1" applyBorder="1" applyAlignment="1">
      <alignment horizontal="center" vertical="center" wrapText="1"/>
    </xf>
    <xf numFmtId="0" fontId="0" fillId="0" borderId="0" xfId="0" applyBorder="1" applyAlignment="1">
      <alignment horizontal="left" vertical="center"/>
    </xf>
    <xf numFmtId="0" fontId="0" fillId="0" borderId="0" xfId="0" applyBorder="1" applyAlignment="1">
      <alignment horizontal="left" vertical="center" wrapText="1"/>
    </xf>
    <xf numFmtId="0" fontId="0" fillId="6" borderId="1" xfId="0" applyFill="1" applyBorder="1" applyAlignment="1">
      <alignment horizontal="center" vertical="center"/>
    </xf>
    <xf numFmtId="0" fontId="1" fillId="0" borderId="0" xfId="0" applyFont="1" applyAlignment="1">
      <alignment horizontal="center" vertical="center"/>
    </xf>
    <xf numFmtId="0" fontId="27" fillId="8" borderId="42" xfId="0" applyFont="1" applyFill="1" applyBorder="1" applyAlignment="1">
      <alignment horizontal="center" vertical="center" wrapText="1"/>
    </xf>
    <xf numFmtId="0" fontId="27" fillId="8" borderId="15" xfId="0" applyFont="1" applyFill="1" applyBorder="1" applyAlignment="1">
      <alignment horizontal="center" vertical="center" wrapText="1"/>
    </xf>
    <xf numFmtId="0" fontId="1" fillId="0" borderId="0" xfId="0" applyFont="1" applyAlignment="1">
      <alignment horizontal="left" vertical="center"/>
    </xf>
    <xf numFmtId="0" fontId="11" fillId="8" borderId="46" xfId="0" applyFont="1" applyFill="1" applyBorder="1" applyAlignment="1">
      <alignment horizontal="center" vertical="center" wrapText="1"/>
    </xf>
    <xf numFmtId="0" fontId="11" fillId="8" borderId="1" xfId="0" applyFont="1" applyFill="1" applyBorder="1" applyAlignment="1">
      <alignment horizontal="center" vertical="center" wrapText="1"/>
    </xf>
    <xf numFmtId="0" fontId="15" fillId="8" borderId="40" xfId="0" applyFont="1" applyFill="1" applyBorder="1" applyAlignment="1">
      <alignment horizontal="center" vertical="center"/>
    </xf>
    <xf numFmtId="0" fontId="15" fillId="8" borderId="45" xfId="0" applyFont="1" applyFill="1" applyBorder="1" applyAlignment="1">
      <alignment horizontal="center" vertical="center"/>
    </xf>
    <xf numFmtId="0" fontId="12" fillId="8" borderId="47" xfId="0" applyFont="1" applyFill="1" applyBorder="1" applyAlignment="1">
      <alignment horizontal="center" vertical="center" wrapText="1"/>
    </xf>
    <xf numFmtId="0" fontId="27" fillId="8" borderId="1" xfId="0" applyFont="1" applyFill="1" applyBorder="1" applyAlignment="1">
      <alignment horizontal="center" vertical="center" wrapText="1"/>
    </xf>
    <xf numFmtId="0" fontId="12" fillId="0" borderId="57" xfId="0" applyFont="1" applyBorder="1" applyAlignment="1">
      <alignment horizontal="center" vertical="center" wrapText="1"/>
    </xf>
    <xf numFmtId="0" fontId="12" fillId="0" borderId="37" xfId="0" applyFont="1" applyBorder="1" applyAlignment="1">
      <alignment horizontal="center" vertical="center" wrapText="1"/>
    </xf>
    <xf numFmtId="0" fontId="12" fillId="0" borderId="28" xfId="0" applyFont="1" applyBorder="1" applyAlignment="1">
      <alignment horizontal="center" vertical="center" wrapText="1"/>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9" xfId="0" applyFont="1" applyBorder="1" applyAlignment="1">
      <alignment horizontal="center" vertical="center"/>
    </xf>
    <xf numFmtId="0" fontId="0" fillId="0" borderId="2" xfId="0" applyFill="1" applyBorder="1" applyAlignment="1">
      <alignment horizontal="center" vertical="center"/>
    </xf>
    <xf numFmtId="0" fontId="0" fillId="0" borderId="3" xfId="0" applyFill="1" applyBorder="1" applyAlignment="1">
      <alignment horizontal="center" vertical="center"/>
    </xf>
    <xf numFmtId="0" fontId="0" fillId="0" borderId="49" xfId="0" applyFill="1" applyBorder="1" applyAlignment="1">
      <alignment horizontal="center" vertical="center"/>
    </xf>
    <xf numFmtId="2" fontId="0" fillId="0" borderId="2" xfId="0" applyNumberFormat="1" applyFill="1" applyBorder="1" applyAlignment="1">
      <alignment horizontal="center" vertical="center" wrapText="1"/>
    </xf>
    <xf numFmtId="2" fontId="0" fillId="0" borderId="3" xfId="0" applyNumberFormat="1" applyFill="1" applyBorder="1" applyAlignment="1">
      <alignment horizontal="center" vertical="center" wrapText="1"/>
    </xf>
    <xf numFmtId="2" fontId="0" fillId="0" borderId="49" xfId="0" applyNumberFormat="1" applyFill="1" applyBorder="1" applyAlignment="1">
      <alignment horizontal="center" vertical="center" wrapText="1"/>
    </xf>
    <xf numFmtId="0" fontId="11" fillId="8" borderId="13" xfId="0" applyFont="1" applyFill="1" applyBorder="1" applyAlignment="1">
      <alignment horizontal="center" vertical="center" wrapText="1"/>
    </xf>
    <xf numFmtId="0" fontId="11" fillId="8" borderId="18" xfId="0" applyFont="1" applyFill="1" applyBorder="1" applyAlignment="1">
      <alignment horizontal="center" vertical="center" wrapText="1"/>
    </xf>
    <xf numFmtId="0" fontId="11" fillId="8" borderId="20" xfId="0" applyFont="1" applyFill="1" applyBorder="1" applyAlignment="1">
      <alignment horizontal="center" vertical="center" wrapText="1"/>
    </xf>
    <xf numFmtId="0" fontId="11" fillId="8" borderId="58" xfId="0" applyFont="1" applyFill="1" applyBorder="1" applyAlignment="1">
      <alignment horizontal="center" vertical="center" wrapText="1"/>
    </xf>
    <xf numFmtId="0" fontId="11" fillId="8" borderId="29" xfId="0" applyFont="1" applyFill="1" applyBorder="1" applyAlignment="1">
      <alignment horizontal="center" vertical="center" wrapText="1"/>
    </xf>
    <xf numFmtId="0" fontId="11" fillId="8" borderId="12" xfId="0" applyFont="1" applyFill="1" applyBorder="1" applyAlignment="1">
      <alignment horizontal="center" vertical="center" wrapText="1"/>
    </xf>
    <xf numFmtId="0" fontId="11" fillId="8" borderId="59" xfId="0" applyFont="1" applyFill="1" applyBorder="1" applyAlignment="1">
      <alignment horizontal="center" vertical="center" wrapText="1"/>
    </xf>
    <xf numFmtId="0" fontId="8" fillId="0" borderId="54" xfId="0" applyFont="1" applyFill="1" applyBorder="1" applyAlignment="1">
      <alignment horizontal="center" vertical="center"/>
    </xf>
    <xf numFmtId="0" fontId="8" fillId="0" borderId="55" xfId="0" applyFont="1" applyFill="1" applyBorder="1" applyAlignment="1">
      <alignment horizontal="center" vertical="center"/>
    </xf>
    <xf numFmtId="9" fontId="11" fillId="7" borderId="13" xfId="0" applyNumberFormat="1" applyFont="1" applyFill="1" applyBorder="1" applyAlignment="1">
      <alignment horizontal="center" vertical="center"/>
    </xf>
    <xf numFmtId="9" fontId="11" fillId="7" borderId="56" xfId="0" applyNumberFormat="1" applyFont="1" applyFill="1" applyBorder="1" applyAlignment="1">
      <alignment horizontal="center" vertical="center"/>
    </xf>
    <xf numFmtId="0" fontId="17" fillId="0" borderId="9" xfId="0" applyFont="1" applyBorder="1" applyAlignment="1">
      <alignment horizontal="center" wrapText="1"/>
    </xf>
    <xf numFmtId="0" fontId="17" fillId="0" borderId="10" xfId="0" applyFont="1" applyBorder="1" applyAlignment="1">
      <alignment horizontal="center" wrapText="1"/>
    </xf>
    <xf numFmtId="0" fontId="17" fillId="0" borderId="11" xfId="0" applyFont="1" applyBorder="1" applyAlignment="1">
      <alignment horizontal="center" wrapText="1"/>
    </xf>
    <xf numFmtId="0" fontId="3" fillId="0" borderId="25" xfId="0" applyFont="1" applyBorder="1" applyAlignment="1">
      <alignment horizontal="center" vertical="top" wrapText="1"/>
    </xf>
    <xf numFmtId="0" fontId="3" fillId="0" borderId="8" xfId="0" applyFont="1" applyBorder="1" applyAlignment="1">
      <alignment horizontal="center" vertical="top" wrapText="1"/>
    </xf>
    <xf numFmtId="0" fontId="3" fillId="0" borderId="26" xfId="0" applyFont="1" applyBorder="1" applyAlignment="1">
      <alignment horizontal="center" vertical="top" wrapText="1"/>
    </xf>
    <xf numFmtId="0" fontId="3" fillId="0" borderId="25" xfId="0" applyFont="1" applyBorder="1" applyAlignment="1">
      <alignment horizontal="center" vertical="center" wrapText="1"/>
    </xf>
    <xf numFmtId="0" fontId="3" fillId="0" borderId="8"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29" xfId="0" applyFont="1" applyBorder="1" applyAlignment="1">
      <alignment horizontal="center" vertical="center" wrapText="1"/>
    </xf>
    <xf numFmtId="0" fontId="3" fillId="0" borderId="0" xfId="0" applyFont="1" applyBorder="1" applyAlignment="1">
      <alignment horizontal="center" vertical="center" wrapText="1"/>
    </xf>
    <xf numFmtId="0" fontId="3" fillId="0" borderId="36" xfId="0" applyFont="1" applyBorder="1" applyAlignment="1">
      <alignment horizontal="center" vertical="center" wrapText="1"/>
    </xf>
    <xf numFmtId="0" fontId="3" fillId="0" borderId="27" xfId="0" applyFont="1" applyBorder="1" applyAlignment="1">
      <alignment horizontal="center" vertical="center" wrapText="1"/>
    </xf>
    <xf numFmtId="0" fontId="3" fillId="0" borderId="37" xfId="0" applyFont="1" applyBorder="1" applyAlignment="1">
      <alignment horizontal="center" vertical="center" wrapText="1"/>
    </xf>
    <xf numFmtId="0" fontId="3" fillId="0" borderId="28" xfId="0" applyFont="1" applyBorder="1" applyAlignment="1">
      <alignment horizontal="center" vertical="center" wrapText="1"/>
    </xf>
    <xf numFmtId="0" fontId="14" fillId="0" borderId="21" xfId="0" applyFont="1" applyBorder="1" applyAlignment="1">
      <alignment horizontal="center" vertical="center" wrapText="1"/>
    </xf>
    <xf numFmtId="0" fontId="14" fillId="0" borderId="0" xfId="0" applyFont="1" applyBorder="1" applyAlignment="1">
      <alignment horizontal="center" vertical="center" wrapText="1"/>
    </xf>
    <xf numFmtId="0" fontId="14" fillId="0" borderId="8"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1" xfId="0" applyFont="1" applyBorder="1" applyAlignment="1">
      <alignment horizontal="center" vertical="center" wrapText="1"/>
    </xf>
    <xf numFmtId="0" fontId="3" fillId="0" borderId="9" xfId="0" applyFont="1" applyBorder="1" applyAlignment="1">
      <alignment horizontal="center" vertical="top" wrapText="1"/>
    </xf>
    <xf numFmtId="0" fontId="3" fillId="0" borderId="10" xfId="0" applyFont="1" applyBorder="1" applyAlignment="1">
      <alignment horizontal="center" vertical="top" wrapText="1"/>
    </xf>
    <xf numFmtId="0" fontId="3" fillId="0" borderId="11" xfId="0" applyFont="1" applyBorder="1" applyAlignment="1">
      <alignment horizontal="center" vertical="top" wrapText="1"/>
    </xf>
    <xf numFmtId="0" fontId="14" fillId="0" borderId="27" xfId="0" applyFont="1" applyBorder="1" applyAlignment="1">
      <alignment horizontal="center" vertical="center" wrapText="1"/>
    </xf>
    <xf numFmtId="0" fontId="14" fillId="0" borderId="37" xfId="0" applyFont="1" applyBorder="1" applyAlignment="1">
      <alignment horizontal="center" vertical="center" wrapText="1"/>
    </xf>
    <xf numFmtId="0" fontId="14" fillId="0" borderId="28" xfId="0" applyFont="1" applyBorder="1" applyAlignment="1">
      <alignment horizontal="center" vertical="center" wrapText="1"/>
    </xf>
    <xf numFmtId="0" fontId="16" fillId="0" borderId="9" xfId="0" applyFont="1" applyBorder="1" applyAlignment="1">
      <alignment horizontal="center" vertical="center" wrapText="1"/>
    </xf>
    <xf numFmtId="0" fontId="16" fillId="0" borderId="10" xfId="0" applyFont="1" applyBorder="1" applyAlignment="1">
      <alignment horizontal="center" vertical="center" wrapText="1"/>
    </xf>
    <xf numFmtId="0" fontId="16" fillId="0" borderId="11" xfId="0" applyFont="1" applyBorder="1" applyAlignment="1">
      <alignment horizontal="center" vertical="center" wrapText="1"/>
    </xf>
    <xf numFmtId="0" fontId="3" fillId="0" borderId="29" xfId="0" applyFont="1" applyBorder="1" applyAlignment="1">
      <alignment horizontal="center" vertical="top" wrapText="1"/>
    </xf>
    <xf numFmtId="0" fontId="2" fillId="0" borderId="0" xfId="0" applyFont="1" applyBorder="1" applyAlignment="1">
      <alignment horizontal="center" vertical="top" wrapText="1"/>
    </xf>
    <xf numFmtId="0" fontId="2" fillId="0" borderId="36" xfId="0" applyFont="1" applyBorder="1" applyAlignment="1">
      <alignment horizontal="center" vertical="top" wrapText="1"/>
    </xf>
    <xf numFmtId="0" fontId="3" fillId="0" borderId="22" xfId="0" applyFont="1" applyBorder="1" applyAlignment="1">
      <alignment horizontal="center" vertical="center" wrapText="1"/>
    </xf>
    <xf numFmtId="0" fontId="22" fillId="2" borderId="31" xfId="0" applyFont="1" applyFill="1" applyBorder="1" applyAlignment="1">
      <alignment horizontal="center" vertical="center" wrapText="1"/>
    </xf>
    <xf numFmtId="0" fontId="22" fillId="2" borderId="32" xfId="0" applyFont="1" applyFill="1" applyBorder="1" applyAlignment="1">
      <alignment horizontal="center" vertical="center" wrapText="1"/>
    </xf>
    <xf numFmtId="0" fontId="18" fillId="0" borderId="9" xfId="0" applyFont="1" applyBorder="1" applyAlignment="1">
      <alignment horizontal="center" vertical="center" wrapText="1"/>
    </xf>
    <xf numFmtId="0" fontId="18" fillId="0" borderId="10" xfId="0" applyFont="1" applyBorder="1" applyAlignment="1">
      <alignment horizontal="center" vertical="center" wrapText="1"/>
    </xf>
    <xf numFmtId="0" fontId="18" fillId="0" borderId="11" xfId="0" applyFont="1" applyBorder="1" applyAlignment="1">
      <alignment horizontal="center" vertical="center" wrapText="1"/>
    </xf>
    <xf numFmtId="0" fontId="14" fillId="0" borderId="36" xfId="0" applyFont="1" applyBorder="1" applyAlignment="1">
      <alignment horizontal="center" vertical="center" wrapText="1"/>
    </xf>
    <xf numFmtId="0" fontId="14" fillId="0" borderId="26" xfId="0" applyFont="1" applyBorder="1" applyAlignment="1">
      <alignment horizontal="center" vertical="center" wrapText="1"/>
    </xf>
    <xf numFmtId="0" fontId="3" fillId="0" borderId="0" xfId="0" applyFont="1" applyBorder="1" applyAlignment="1">
      <alignment horizontal="center" vertical="top" wrapText="1"/>
    </xf>
    <xf numFmtId="0" fontId="3" fillId="0" borderId="36" xfId="0" applyFont="1" applyBorder="1" applyAlignment="1">
      <alignment horizontal="center" vertical="top" wrapText="1"/>
    </xf>
    <xf numFmtId="0" fontId="16" fillId="0" borderId="25" xfId="0" applyFont="1" applyBorder="1" applyAlignment="1">
      <alignment horizontal="center" vertical="top" wrapText="1"/>
    </xf>
    <xf numFmtId="0" fontId="16" fillId="0" borderId="8" xfId="0" applyFont="1" applyBorder="1" applyAlignment="1">
      <alignment horizontal="center" vertical="top" wrapText="1"/>
    </xf>
    <xf numFmtId="0" fontId="16" fillId="0" borderId="26" xfId="0" applyFont="1" applyBorder="1" applyAlignment="1">
      <alignment horizontal="center" vertical="top" wrapText="1"/>
    </xf>
    <xf numFmtId="0" fontId="20" fillId="10" borderId="9" xfId="0" applyFont="1" applyFill="1" applyBorder="1" applyAlignment="1">
      <alignment horizontal="center" vertical="center" wrapText="1"/>
    </xf>
    <xf numFmtId="0" fontId="20" fillId="10" borderId="10" xfId="0" applyFont="1" applyFill="1" applyBorder="1" applyAlignment="1">
      <alignment horizontal="center" vertical="center" wrapText="1"/>
    </xf>
    <xf numFmtId="0" fontId="20" fillId="10" borderId="11" xfId="0" applyFont="1" applyFill="1" applyBorder="1" applyAlignment="1">
      <alignment horizontal="center" vertical="center" wrapText="1"/>
    </xf>
    <xf numFmtId="0" fontId="20" fillId="10" borderId="27" xfId="0" applyFont="1" applyFill="1" applyBorder="1" applyAlignment="1">
      <alignment horizontal="center" vertical="center" wrapText="1"/>
    </xf>
    <xf numFmtId="0" fontId="20" fillId="10" borderId="37" xfId="0" applyFont="1" applyFill="1" applyBorder="1" applyAlignment="1">
      <alignment horizontal="center" vertical="center" wrapText="1"/>
    </xf>
    <xf numFmtId="0" fontId="28" fillId="9" borderId="1" xfId="0" applyFont="1" applyFill="1" applyBorder="1" applyAlignment="1">
      <alignment horizontal="center" vertical="center" wrapText="1"/>
    </xf>
    <xf numFmtId="0" fontId="25" fillId="9" borderId="50" xfId="0" applyFont="1" applyFill="1" applyBorder="1" applyAlignment="1">
      <alignment horizontal="center" wrapText="1"/>
    </xf>
    <xf numFmtId="0" fontId="25" fillId="9" borderId="16" xfId="0" applyFont="1" applyFill="1" applyBorder="1" applyAlignment="1">
      <alignment horizontal="center" wrapText="1"/>
    </xf>
    <xf numFmtId="0" fontId="21" fillId="9" borderId="51" xfId="0" applyFont="1" applyFill="1" applyBorder="1" applyAlignment="1">
      <alignment horizontal="center" wrapText="1"/>
    </xf>
    <xf numFmtId="0" fontId="21" fillId="9" borderId="52" xfId="0" applyFont="1" applyFill="1" applyBorder="1" applyAlignment="1">
      <alignment horizontal="center" wrapText="1"/>
    </xf>
    <xf numFmtId="0" fontId="21" fillId="9" borderId="1" xfId="0" applyFont="1" applyFill="1" applyBorder="1" applyAlignment="1">
      <alignment horizontal="center" wrapText="1"/>
    </xf>
    <xf numFmtId="0" fontId="20" fillId="10" borderId="24" xfId="0" applyFont="1" applyFill="1" applyBorder="1" applyAlignment="1">
      <alignment horizontal="center" vertical="center" wrapText="1"/>
    </xf>
    <xf numFmtId="0" fontId="20" fillId="10" borderId="22" xfId="0" applyFont="1" applyFill="1" applyBorder="1" applyAlignment="1">
      <alignment horizontal="center" vertical="center" wrapText="1"/>
    </xf>
    <xf numFmtId="0" fontId="20" fillId="10" borderId="29" xfId="0" applyFont="1" applyFill="1" applyBorder="1" applyAlignment="1">
      <alignment horizontal="center" vertical="center" wrapText="1"/>
    </xf>
    <xf numFmtId="0" fontId="20" fillId="10" borderId="36" xfId="0" applyFont="1" applyFill="1" applyBorder="1" applyAlignment="1">
      <alignment horizontal="center" vertical="center" wrapText="1"/>
    </xf>
    <xf numFmtId="0" fontId="25" fillId="9" borderId="49" xfId="0" applyFont="1" applyFill="1" applyBorder="1" applyAlignment="1">
      <alignment horizontal="center" wrapText="1"/>
    </xf>
    <xf numFmtId="0" fontId="28" fillId="9" borderId="46" xfId="0" applyFont="1" applyFill="1" applyBorder="1" applyAlignment="1">
      <alignment horizontal="center" vertical="center" wrapText="1"/>
    </xf>
    <xf numFmtId="0" fontId="21" fillId="9" borderId="51" xfId="0" applyFont="1" applyFill="1" applyBorder="1" applyAlignment="1">
      <alignment horizontal="center" vertical="center" wrapText="1"/>
    </xf>
    <xf numFmtId="0" fontId="21" fillId="9" borderId="52" xfId="0" applyFont="1" applyFill="1" applyBorder="1" applyAlignment="1">
      <alignment horizontal="center" vertical="center" wrapText="1"/>
    </xf>
    <xf numFmtId="9" fontId="0" fillId="11" borderId="1" xfId="0" applyNumberFormat="1" applyFill="1" applyBorder="1" applyAlignment="1">
      <alignment horizontal="center" vertical="top"/>
    </xf>
    <xf numFmtId="0" fontId="0" fillId="11" borderId="1" xfId="0" applyFill="1" applyBorder="1" applyAlignment="1">
      <alignment horizontal="center" vertical="top"/>
    </xf>
  </cellXfs>
  <cellStyles count="9">
    <cellStyle name="Millares [0]" xfId="1" builtinId="6"/>
    <cellStyle name="Moneda" xfId="4" builtinId="4"/>
    <cellStyle name="Moneda [0]" xfId="2" builtinId="7"/>
    <cellStyle name="Moneda [0] 2" xfId="3"/>
    <cellStyle name="Moneda [0] 3" xfId="8"/>
    <cellStyle name="Normal" xfId="0" builtinId="0"/>
    <cellStyle name="Normal 2" xfId="6"/>
    <cellStyle name="Porcentaje" xfId="5" builtinId="5"/>
    <cellStyle name="Porcentual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theme" Target="theme/theme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tyles" Target="styles.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20" Type="http://schemas.openxmlformats.org/officeDocument/2006/relationships/worksheet" Target="worksheets/sheet20.xml"/><Relationship Id="rId41"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3</xdr:col>
      <xdr:colOff>1258660</xdr:colOff>
      <xdr:row>1</xdr:row>
      <xdr:rowOff>462642</xdr:rowOff>
    </xdr:from>
    <xdr:to>
      <xdr:col>6</xdr:col>
      <xdr:colOff>739321</xdr:colOff>
      <xdr:row>1</xdr:row>
      <xdr:rowOff>2728231</xdr:rowOff>
    </xdr:to>
    <xdr:pic>
      <xdr:nvPicPr>
        <xdr:cNvPr id="5" name="4 Imagen">
          <a:extLst>
            <a:ext uri="{FF2B5EF4-FFF2-40B4-BE49-F238E27FC236}">
              <a16:creationId xmlns:a16="http://schemas.microsoft.com/office/drawing/2014/main" xmlns="" id="{00000000-0008-0000-0200-000005000000}"/>
            </a:ext>
          </a:extLst>
        </xdr:cNvPr>
        <xdr:cNvPicPr>
          <a:picLocks noChangeAspect="1"/>
        </xdr:cNvPicPr>
      </xdr:nvPicPr>
      <xdr:blipFill rotWithShape="1">
        <a:blip xmlns:r="http://schemas.openxmlformats.org/officeDocument/2006/relationships" r:embed="rId1"/>
        <a:srcRect l="33405" t="40695" r="28157" b="27438"/>
        <a:stretch/>
      </xdr:blipFill>
      <xdr:spPr>
        <a:xfrm>
          <a:off x="7123339" y="761999"/>
          <a:ext cx="4869090" cy="2265589"/>
        </a:xfrm>
        <a:prstGeom prst="rect">
          <a:avLst/>
        </a:prstGeom>
      </xdr:spPr>
    </xdr:pic>
    <xdr:clientData/>
  </xdr:twoCellAnchor>
  <xdr:twoCellAnchor editAs="oneCell">
    <xdr:from>
      <xdr:col>7</xdr:col>
      <xdr:colOff>1891394</xdr:colOff>
      <xdr:row>3</xdr:row>
      <xdr:rowOff>762000</xdr:rowOff>
    </xdr:from>
    <xdr:to>
      <xdr:col>9</xdr:col>
      <xdr:colOff>92313</xdr:colOff>
      <xdr:row>3</xdr:row>
      <xdr:rowOff>2174994</xdr:rowOff>
    </xdr:to>
    <xdr:pic>
      <xdr:nvPicPr>
        <xdr:cNvPr id="6" name="Imagen 5">
          <a:extLst>
            <a:ext uri="{FF2B5EF4-FFF2-40B4-BE49-F238E27FC236}">
              <a16:creationId xmlns:a16="http://schemas.microsoft.com/office/drawing/2014/main" xmlns="" id="{00000000-0008-0000-0200-000006000000}"/>
            </a:ext>
          </a:extLst>
        </xdr:cNvPr>
        <xdr:cNvPicPr>
          <a:picLocks noChangeAspect="1"/>
        </xdr:cNvPicPr>
      </xdr:nvPicPr>
      <xdr:blipFill rotWithShape="1">
        <a:blip xmlns:r="http://schemas.openxmlformats.org/officeDocument/2006/relationships" r:embed="rId2"/>
        <a:srcRect l="46732" t="43392" r="27818" b="33324"/>
        <a:stretch/>
      </xdr:blipFill>
      <xdr:spPr>
        <a:xfrm>
          <a:off x="15158358" y="4340679"/>
          <a:ext cx="2745705" cy="1412994"/>
        </a:xfrm>
        <a:prstGeom prst="rect">
          <a:avLst/>
        </a:prstGeom>
      </xdr:spPr>
    </xdr:pic>
    <xdr:clientData/>
  </xdr:twoCellAnchor>
  <xdr:twoCellAnchor editAs="oneCell">
    <xdr:from>
      <xdr:col>7</xdr:col>
      <xdr:colOff>489857</xdr:colOff>
      <xdr:row>4</xdr:row>
      <xdr:rowOff>1510394</xdr:rowOff>
    </xdr:from>
    <xdr:to>
      <xdr:col>9</xdr:col>
      <xdr:colOff>1374320</xdr:colOff>
      <xdr:row>4</xdr:row>
      <xdr:rowOff>3656295</xdr:rowOff>
    </xdr:to>
    <xdr:pic>
      <xdr:nvPicPr>
        <xdr:cNvPr id="7" name="Imagen 6">
          <a:extLst>
            <a:ext uri="{FF2B5EF4-FFF2-40B4-BE49-F238E27FC236}">
              <a16:creationId xmlns:a16="http://schemas.microsoft.com/office/drawing/2014/main" xmlns="" id="{00000000-0008-0000-0200-000007000000}"/>
            </a:ext>
          </a:extLst>
        </xdr:cNvPr>
        <xdr:cNvPicPr>
          <a:picLocks noChangeAspect="1"/>
        </xdr:cNvPicPr>
      </xdr:nvPicPr>
      <xdr:blipFill rotWithShape="1">
        <a:blip xmlns:r="http://schemas.openxmlformats.org/officeDocument/2006/relationships" r:embed="rId3"/>
        <a:srcRect l="42193" t="45112" r="23352" b="30679"/>
        <a:stretch/>
      </xdr:blipFill>
      <xdr:spPr>
        <a:xfrm>
          <a:off x="13756821" y="7320644"/>
          <a:ext cx="5429249" cy="2145901"/>
        </a:xfrm>
        <a:prstGeom prst="rect">
          <a:avLst/>
        </a:prstGeom>
      </xdr:spPr>
    </xdr:pic>
    <xdr:clientData/>
  </xdr:twoCellAnchor>
  <xdr:twoCellAnchor editAs="oneCell">
    <xdr:from>
      <xdr:col>4</xdr:col>
      <xdr:colOff>258537</xdr:colOff>
      <xdr:row>5</xdr:row>
      <xdr:rowOff>400045</xdr:rowOff>
    </xdr:from>
    <xdr:to>
      <xdr:col>8</xdr:col>
      <xdr:colOff>1238250</xdr:colOff>
      <xdr:row>5</xdr:row>
      <xdr:rowOff>2205303</xdr:rowOff>
    </xdr:to>
    <xdr:pic>
      <xdr:nvPicPr>
        <xdr:cNvPr id="8" name="Imagen 7">
          <a:extLst>
            <a:ext uri="{FF2B5EF4-FFF2-40B4-BE49-F238E27FC236}">
              <a16:creationId xmlns:a16="http://schemas.microsoft.com/office/drawing/2014/main" xmlns="" id="{00000000-0008-0000-0200-000008000000}"/>
            </a:ext>
          </a:extLst>
        </xdr:cNvPr>
        <xdr:cNvPicPr>
          <a:picLocks noChangeAspect="1"/>
        </xdr:cNvPicPr>
      </xdr:nvPicPr>
      <xdr:blipFill rotWithShape="1">
        <a:blip xmlns:r="http://schemas.openxmlformats.org/officeDocument/2006/relationships" r:embed="rId4"/>
        <a:srcRect l="23664" t="35190" r="14349" b="43246"/>
        <a:stretch/>
      </xdr:blipFill>
      <xdr:spPr>
        <a:xfrm>
          <a:off x="8177894" y="9693724"/>
          <a:ext cx="9225642" cy="1805258"/>
        </a:xfrm>
        <a:prstGeom prst="rect">
          <a:avLst/>
        </a:prstGeom>
      </xdr:spPr>
    </xdr:pic>
    <xdr:clientData/>
  </xdr:twoCellAnchor>
  <xdr:twoCellAnchor editAs="oneCell">
    <xdr:from>
      <xdr:col>3</xdr:col>
      <xdr:colOff>402760</xdr:colOff>
      <xdr:row>11</xdr:row>
      <xdr:rowOff>829403</xdr:rowOff>
    </xdr:from>
    <xdr:to>
      <xdr:col>6</xdr:col>
      <xdr:colOff>1374321</xdr:colOff>
      <xdr:row>11</xdr:row>
      <xdr:rowOff>2707820</xdr:rowOff>
    </xdr:to>
    <xdr:pic>
      <xdr:nvPicPr>
        <xdr:cNvPr id="9" name="Imagen 8">
          <a:extLst>
            <a:ext uri="{FF2B5EF4-FFF2-40B4-BE49-F238E27FC236}">
              <a16:creationId xmlns:a16="http://schemas.microsoft.com/office/drawing/2014/main" xmlns="" id="{00000000-0008-0000-0200-000009000000}"/>
            </a:ext>
          </a:extLst>
        </xdr:cNvPr>
        <xdr:cNvPicPr>
          <a:picLocks noChangeAspect="1"/>
        </xdr:cNvPicPr>
      </xdr:nvPicPr>
      <xdr:blipFill rotWithShape="1">
        <a:blip xmlns:r="http://schemas.openxmlformats.org/officeDocument/2006/relationships" r:embed="rId5"/>
        <a:srcRect l="38472" t="42730" r="29530" b="40469"/>
        <a:stretch/>
      </xdr:blipFill>
      <xdr:spPr>
        <a:xfrm>
          <a:off x="6525974" y="24777974"/>
          <a:ext cx="6359990" cy="1878417"/>
        </a:xfrm>
        <a:prstGeom prst="rect">
          <a:avLst/>
        </a:prstGeom>
      </xdr:spPr>
    </xdr:pic>
    <xdr:clientData/>
  </xdr:twoCellAnchor>
  <xdr:twoCellAnchor editAs="oneCell">
    <xdr:from>
      <xdr:col>7</xdr:col>
      <xdr:colOff>95250</xdr:colOff>
      <xdr:row>10</xdr:row>
      <xdr:rowOff>2707820</xdr:rowOff>
    </xdr:from>
    <xdr:to>
      <xdr:col>9</xdr:col>
      <xdr:colOff>1576241</xdr:colOff>
      <xdr:row>10</xdr:row>
      <xdr:rowOff>3605892</xdr:rowOff>
    </xdr:to>
    <xdr:pic>
      <xdr:nvPicPr>
        <xdr:cNvPr id="10" name="Imagen 9">
          <a:extLst>
            <a:ext uri="{FF2B5EF4-FFF2-40B4-BE49-F238E27FC236}">
              <a16:creationId xmlns:a16="http://schemas.microsoft.com/office/drawing/2014/main" xmlns="" id="{00000000-0008-0000-0200-00000A000000}"/>
            </a:ext>
          </a:extLst>
        </xdr:cNvPr>
        <xdr:cNvPicPr>
          <a:picLocks noChangeAspect="1"/>
        </xdr:cNvPicPr>
      </xdr:nvPicPr>
      <xdr:blipFill rotWithShape="1">
        <a:blip xmlns:r="http://schemas.openxmlformats.org/officeDocument/2006/relationships" r:embed="rId6"/>
        <a:srcRect l="23515" t="54372" r="14573" b="29224"/>
        <a:stretch/>
      </xdr:blipFill>
      <xdr:spPr>
        <a:xfrm>
          <a:off x="13362214" y="27636106"/>
          <a:ext cx="6025777" cy="89807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jaime.villalba\Desktop\CTOS%20054%20Y%20143%20%202018\MALLA%20VIAL%20LP%20EVALUACION\EVALUACION%20MALLA%20VIAL%2009%20DE%20DICIEMBRE%202019\EVALUACION%20K%20RESIDUAL,%20EXP%20Y%20PONDERABLE%201-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KR"/>
      <sheetName val="PROPONENTE 1"/>
      <sheetName val="PROPONENTE 2"/>
      <sheetName val="PROPONENTE 3"/>
      <sheetName val="PROPONENTE 4"/>
      <sheetName val="PROPONENTE 5"/>
      <sheetName val="REQUISITOS PONDERABLES "/>
    </sheetNames>
    <sheetDataSet>
      <sheetData sheetId="0" refreshError="1"/>
      <sheetData sheetId="1">
        <row r="6">
          <cell r="C6" t="str">
            <v>UT MALLA VIAL MARTIRES</v>
          </cell>
        </row>
      </sheetData>
      <sheetData sheetId="2" refreshError="1"/>
      <sheetData sheetId="3" refreshError="1"/>
      <sheetData sheetId="4" refreshError="1"/>
      <sheetData sheetId="5" refreshError="1"/>
      <sheetData sheetId="6"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46"/>
  <sheetViews>
    <sheetView view="pageBreakPreview" topLeftCell="A19" zoomScale="90" zoomScaleNormal="100" zoomScaleSheetLayoutView="90" workbookViewId="0">
      <selection activeCell="M34" sqref="M34"/>
    </sheetView>
  </sheetViews>
  <sheetFormatPr baseColWidth="10" defaultRowHeight="15" x14ac:dyDescent="0.25"/>
  <cols>
    <col min="1" max="1" width="13" bestFit="1" customWidth="1"/>
    <col min="2" max="2" width="56.85546875" bestFit="1" customWidth="1"/>
    <col min="3" max="3" width="19.140625" customWidth="1"/>
    <col min="4" max="4" width="20.140625" customWidth="1"/>
    <col min="5" max="5" width="17.5703125" bestFit="1" customWidth="1"/>
    <col min="6" max="6" width="42.5703125" customWidth="1"/>
  </cols>
  <sheetData>
    <row r="2" spans="1:6" ht="50.25" customHeight="1" x14ac:dyDescent="0.25">
      <c r="A2" s="265" t="s">
        <v>487</v>
      </c>
      <c r="B2" s="266"/>
      <c r="C2" s="266"/>
      <c r="D2" s="266"/>
      <c r="E2" s="266"/>
      <c r="F2" s="267"/>
    </row>
    <row r="3" spans="1:6" x14ac:dyDescent="0.25">
      <c r="A3" s="220"/>
      <c r="B3" s="220"/>
      <c r="C3" s="220"/>
      <c r="D3" s="220"/>
      <c r="E3" s="220"/>
      <c r="F3" s="220"/>
    </row>
    <row r="4" spans="1:6" ht="15.75" x14ac:dyDescent="0.25">
      <c r="A4" s="265" t="s">
        <v>482</v>
      </c>
      <c r="B4" s="266"/>
      <c r="C4" s="266"/>
      <c r="D4" s="266"/>
      <c r="E4" s="266"/>
      <c r="F4" s="267"/>
    </row>
    <row r="5" spans="1:6" ht="15.75" x14ac:dyDescent="0.25">
      <c r="A5" s="265" t="s">
        <v>488</v>
      </c>
      <c r="B5" s="266"/>
      <c r="C5" s="266"/>
      <c r="D5" s="266"/>
      <c r="E5" s="266"/>
      <c r="F5" s="267"/>
    </row>
    <row r="6" spans="1:6" ht="18.75" x14ac:dyDescent="0.25">
      <c r="A6" s="221"/>
      <c r="B6" s="217"/>
      <c r="C6" s="216"/>
      <c r="D6" s="222"/>
      <c r="E6" s="217"/>
      <c r="F6" s="217"/>
    </row>
    <row r="7" spans="1:6" ht="18.75" x14ac:dyDescent="0.25">
      <c r="A7" s="221"/>
      <c r="B7" s="217"/>
      <c r="C7" s="216"/>
      <c r="D7" s="222"/>
      <c r="E7" s="217"/>
      <c r="F7" s="217"/>
    </row>
    <row r="8" spans="1:6" x14ac:dyDescent="0.25">
      <c r="A8" s="250" t="s">
        <v>483</v>
      </c>
      <c r="B8" s="250" t="s">
        <v>484</v>
      </c>
      <c r="C8" s="250" t="s">
        <v>485</v>
      </c>
      <c r="D8" s="251" t="s">
        <v>489</v>
      </c>
      <c r="E8" s="250" t="s">
        <v>486</v>
      </c>
      <c r="F8" s="250" t="s">
        <v>17</v>
      </c>
    </row>
    <row r="9" spans="1:6" x14ac:dyDescent="0.25">
      <c r="A9" s="218">
        <v>1</v>
      </c>
      <c r="B9" s="223" t="s">
        <v>181</v>
      </c>
      <c r="C9" s="219" t="s">
        <v>240</v>
      </c>
      <c r="D9" s="219"/>
      <c r="E9" s="219" t="s">
        <v>0</v>
      </c>
      <c r="F9" s="219" t="s">
        <v>490</v>
      </c>
    </row>
    <row r="10" spans="1:6" x14ac:dyDescent="0.25">
      <c r="A10" s="218">
        <v>2</v>
      </c>
      <c r="B10" s="224" t="s">
        <v>175</v>
      </c>
      <c r="C10" s="219" t="s">
        <v>240</v>
      </c>
      <c r="D10" s="219"/>
      <c r="E10" s="219" t="s">
        <v>0</v>
      </c>
      <c r="F10" s="219" t="s">
        <v>490</v>
      </c>
    </row>
    <row r="11" spans="1:6" x14ac:dyDescent="0.25">
      <c r="A11" s="218">
        <v>3</v>
      </c>
      <c r="B11" s="224" t="s">
        <v>176</v>
      </c>
      <c r="C11" s="219" t="s">
        <v>0</v>
      </c>
      <c r="D11" s="219"/>
      <c r="E11" s="219" t="s">
        <v>0</v>
      </c>
      <c r="F11" s="219" t="s">
        <v>490</v>
      </c>
    </row>
    <row r="12" spans="1:6" x14ac:dyDescent="0.25">
      <c r="A12" s="412">
        <v>4</v>
      </c>
      <c r="B12" s="223" t="s">
        <v>178</v>
      </c>
      <c r="C12" s="411" t="s">
        <v>0</v>
      </c>
      <c r="D12" s="219"/>
      <c r="E12" s="219" t="s">
        <v>0</v>
      </c>
      <c r="F12" s="219" t="s">
        <v>490</v>
      </c>
    </row>
    <row r="13" spans="1:6" x14ac:dyDescent="0.25">
      <c r="A13" s="218">
        <v>5</v>
      </c>
      <c r="B13" s="223" t="s">
        <v>179</v>
      </c>
      <c r="C13" s="219" t="s">
        <v>240</v>
      </c>
      <c r="D13" s="219"/>
      <c r="E13" s="219" t="s">
        <v>0</v>
      </c>
      <c r="F13" s="219" t="s">
        <v>490</v>
      </c>
    </row>
    <row r="14" spans="1:6" x14ac:dyDescent="0.25">
      <c r="A14" s="412">
        <v>6</v>
      </c>
      <c r="B14" s="223" t="s">
        <v>436</v>
      </c>
      <c r="C14" s="411" t="s">
        <v>0</v>
      </c>
      <c r="D14" s="219"/>
      <c r="E14" s="219" t="s">
        <v>0</v>
      </c>
      <c r="F14" s="219" t="s">
        <v>490</v>
      </c>
    </row>
    <row r="15" spans="1:6" x14ac:dyDescent="0.25">
      <c r="A15" s="412">
        <v>7</v>
      </c>
      <c r="B15" s="223" t="s">
        <v>479</v>
      </c>
      <c r="C15" s="411" t="s">
        <v>0</v>
      </c>
      <c r="D15" s="219"/>
      <c r="E15" s="219" t="s">
        <v>0</v>
      </c>
      <c r="F15" s="219" t="s">
        <v>490</v>
      </c>
    </row>
    <row r="16" spans="1:6" x14ac:dyDescent="0.25">
      <c r="A16" s="218">
        <v>8</v>
      </c>
      <c r="B16" s="223" t="s">
        <v>480</v>
      </c>
      <c r="C16" s="219" t="s">
        <v>240</v>
      </c>
      <c r="D16" s="219"/>
      <c r="E16" s="219" t="s">
        <v>0</v>
      </c>
      <c r="F16" s="219" t="s">
        <v>490</v>
      </c>
    </row>
    <row r="17" spans="1:6" x14ac:dyDescent="0.25">
      <c r="A17" s="218">
        <v>9</v>
      </c>
      <c r="B17" s="223" t="s">
        <v>481</v>
      </c>
      <c r="C17" s="219" t="s">
        <v>0</v>
      </c>
      <c r="D17" s="219"/>
      <c r="E17" s="219" t="s">
        <v>0</v>
      </c>
      <c r="F17" s="219" t="s">
        <v>490</v>
      </c>
    </row>
    <row r="18" spans="1:6" x14ac:dyDescent="0.25">
      <c r="A18" s="218">
        <v>10</v>
      </c>
      <c r="B18" s="223" t="s">
        <v>477</v>
      </c>
      <c r="C18" s="219" t="s">
        <v>240</v>
      </c>
      <c r="D18" s="219"/>
      <c r="E18" s="219" t="s">
        <v>0</v>
      </c>
      <c r="F18" s="219" t="s">
        <v>490</v>
      </c>
    </row>
    <row r="19" spans="1:6" x14ac:dyDescent="0.25">
      <c r="A19" s="218">
        <v>11</v>
      </c>
      <c r="B19" s="223" t="s">
        <v>97</v>
      </c>
      <c r="C19" s="219" t="s">
        <v>240</v>
      </c>
      <c r="D19" s="219"/>
      <c r="E19" s="219" t="s">
        <v>0</v>
      </c>
      <c r="F19" s="219" t="s">
        <v>490</v>
      </c>
    </row>
    <row r="20" spans="1:6" x14ac:dyDescent="0.25">
      <c r="A20" s="412">
        <v>12</v>
      </c>
      <c r="B20" s="223" t="s">
        <v>104</v>
      </c>
      <c r="C20" s="411" t="s">
        <v>0</v>
      </c>
      <c r="D20" s="219"/>
      <c r="E20" s="219" t="s">
        <v>0</v>
      </c>
      <c r="F20" s="219" t="s">
        <v>490</v>
      </c>
    </row>
    <row r="21" spans="1:6" x14ac:dyDescent="0.25">
      <c r="A21" s="412">
        <v>13</v>
      </c>
      <c r="B21" s="223" t="s">
        <v>108</v>
      </c>
      <c r="C21" s="411" t="s">
        <v>0</v>
      </c>
      <c r="D21" s="219"/>
      <c r="E21" s="219" t="s">
        <v>0</v>
      </c>
      <c r="F21" s="219" t="s">
        <v>490</v>
      </c>
    </row>
    <row r="22" spans="1:6" x14ac:dyDescent="0.25">
      <c r="A22" s="412">
        <v>14</v>
      </c>
      <c r="B22" s="223" t="s">
        <v>107</v>
      </c>
      <c r="C22" s="411" t="s">
        <v>0</v>
      </c>
      <c r="D22" s="219"/>
      <c r="E22" s="219" t="s">
        <v>0</v>
      </c>
      <c r="F22" s="219" t="s">
        <v>490</v>
      </c>
    </row>
    <row r="23" spans="1:6" x14ac:dyDescent="0.25">
      <c r="A23" s="412">
        <v>15</v>
      </c>
      <c r="B23" s="223" t="s">
        <v>106</v>
      </c>
      <c r="C23" s="411" t="s">
        <v>0</v>
      </c>
      <c r="D23" s="219"/>
      <c r="E23" s="219" t="s">
        <v>0</v>
      </c>
      <c r="F23" s="219" t="s">
        <v>490</v>
      </c>
    </row>
    <row r="24" spans="1:6" s="215" customFormat="1" x14ac:dyDescent="0.25">
      <c r="A24" s="218">
        <v>16</v>
      </c>
      <c r="B24" s="223" t="s">
        <v>434</v>
      </c>
      <c r="C24" s="219" t="s">
        <v>240</v>
      </c>
      <c r="D24" s="219"/>
      <c r="E24" s="219" t="s">
        <v>0</v>
      </c>
      <c r="F24" s="219" t="s">
        <v>490</v>
      </c>
    </row>
    <row r="25" spans="1:6" s="215" customFormat="1" x14ac:dyDescent="0.25">
      <c r="A25" s="218">
        <v>17</v>
      </c>
      <c r="B25" s="224" t="s">
        <v>358</v>
      </c>
      <c r="C25" s="219" t="s">
        <v>240</v>
      </c>
      <c r="D25" s="219"/>
      <c r="E25" s="219" t="s">
        <v>0</v>
      </c>
      <c r="F25" s="219" t="s">
        <v>490</v>
      </c>
    </row>
    <row r="26" spans="1:6" s="215" customFormat="1" x14ac:dyDescent="0.25">
      <c r="A26" s="218">
        <v>18</v>
      </c>
      <c r="B26" s="224" t="s">
        <v>433</v>
      </c>
      <c r="C26" s="219" t="s">
        <v>240</v>
      </c>
      <c r="D26" s="219"/>
      <c r="E26" s="219" t="s">
        <v>0</v>
      </c>
      <c r="F26" s="219" t="s">
        <v>490</v>
      </c>
    </row>
    <row r="27" spans="1:6" s="215" customFormat="1" x14ac:dyDescent="0.25">
      <c r="A27" s="218">
        <v>19</v>
      </c>
      <c r="B27" s="223" t="s">
        <v>374</v>
      </c>
      <c r="C27" s="219" t="s">
        <v>240</v>
      </c>
      <c r="D27" s="219"/>
      <c r="E27" s="219" t="s">
        <v>0</v>
      </c>
      <c r="F27" s="219" t="s">
        <v>490</v>
      </c>
    </row>
    <row r="28" spans="1:6" s="215" customFormat="1" x14ac:dyDescent="0.25">
      <c r="A28" s="218">
        <v>20</v>
      </c>
      <c r="B28" s="223" t="s">
        <v>385</v>
      </c>
      <c r="C28" s="219" t="s">
        <v>240</v>
      </c>
      <c r="D28" s="219"/>
      <c r="E28" s="219" t="s">
        <v>0</v>
      </c>
      <c r="F28" s="219" t="s">
        <v>490</v>
      </c>
    </row>
    <row r="29" spans="1:6" s="215" customFormat="1" x14ac:dyDescent="0.25">
      <c r="A29" s="218">
        <v>21</v>
      </c>
      <c r="B29" s="223" t="s">
        <v>388</v>
      </c>
      <c r="C29" s="219" t="s">
        <v>240</v>
      </c>
      <c r="D29" s="219"/>
      <c r="E29" s="219" t="s">
        <v>0</v>
      </c>
      <c r="F29" s="219" t="s">
        <v>490</v>
      </c>
    </row>
    <row r="30" spans="1:6" s="215" customFormat="1" x14ac:dyDescent="0.25">
      <c r="A30" s="218">
        <v>22</v>
      </c>
      <c r="B30" s="223" t="s">
        <v>397</v>
      </c>
      <c r="C30" s="219" t="s">
        <v>240</v>
      </c>
      <c r="D30" s="219"/>
      <c r="E30" s="219" t="s">
        <v>0</v>
      </c>
      <c r="F30" s="219" t="s">
        <v>490</v>
      </c>
    </row>
    <row r="31" spans="1:6" s="215" customFormat="1" x14ac:dyDescent="0.25">
      <c r="A31" s="218">
        <v>23</v>
      </c>
      <c r="B31" s="223" t="s">
        <v>402</v>
      </c>
      <c r="C31" s="219" t="s">
        <v>240</v>
      </c>
      <c r="D31" s="219"/>
      <c r="E31" s="219" t="s">
        <v>0</v>
      </c>
      <c r="F31" s="219" t="s">
        <v>490</v>
      </c>
    </row>
    <row r="32" spans="1:6" s="215" customFormat="1" x14ac:dyDescent="0.25">
      <c r="A32" s="218">
        <v>24</v>
      </c>
      <c r="B32" s="223" t="s">
        <v>409</v>
      </c>
      <c r="C32" s="219" t="s">
        <v>240</v>
      </c>
      <c r="D32" s="219"/>
      <c r="E32" s="219" t="s">
        <v>0</v>
      </c>
      <c r="F32" s="219" t="s">
        <v>490</v>
      </c>
    </row>
    <row r="33" spans="1:6" s="215" customFormat="1" x14ac:dyDescent="0.25">
      <c r="A33" s="218">
        <v>25</v>
      </c>
      <c r="B33" s="223" t="s">
        <v>424</v>
      </c>
      <c r="C33" s="219" t="s">
        <v>0</v>
      </c>
      <c r="D33" s="219"/>
      <c r="E33" s="219" t="s">
        <v>0</v>
      </c>
      <c r="F33" s="219" t="s">
        <v>490</v>
      </c>
    </row>
    <row r="34" spans="1:6" s="215" customFormat="1" x14ac:dyDescent="0.25">
      <c r="A34" s="218">
        <v>26</v>
      </c>
      <c r="B34" s="223" t="s">
        <v>355</v>
      </c>
      <c r="C34" s="219" t="s">
        <v>0</v>
      </c>
      <c r="D34" s="219"/>
      <c r="E34" s="219" t="s">
        <v>0</v>
      </c>
      <c r="F34" s="219" t="s">
        <v>490</v>
      </c>
    </row>
    <row r="35" spans="1:6" s="215" customFormat="1" x14ac:dyDescent="0.25">
      <c r="A35" s="218">
        <v>27</v>
      </c>
      <c r="B35" s="223" t="s">
        <v>284</v>
      </c>
      <c r="C35" s="219" t="s">
        <v>240</v>
      </c>
      <c r="D35" s="219"/>
      <c r="E35" s="219" t="s">
        <v>0</v>
      </c>
      <c r="F35" s="219" t="s">
        <v>490</v>
      </c>
    </row>
    <row r="36" spans="1:6" s="215" customFormat="1" x14ac:dyDescent="0.25">
      <c r="A36" s="218">
        <v>28</v>
      </c>
      <c r="B36" s="223" t="s">
        <v>293</v>
      </c>
      <c r="C36" s="219" t="s">
        <v>240</v>
      </c>
      <c r="D36" s="219"/>
      <c r="E36" s="219" t="s">
        <v>0</v>
      </c>
      <c r="F36" s="219" t="s">
        <v>490</v>
      </c>
    </row>
    <row r="37" spans="1:6" s="215" customFormat="1" x14ac:dyDescent="0.25">
      <c r="A37" s="218">
        <v>29</v>
      </c>
      <c r="B37" s="223" t="s">
        <v>303</v>
      </c>
      <c r="C37" s="219" t="s">
        <v>240</v>
      </c>
      <c r="D37" s="219"/>
      <c r="E37" s="219" t="s">
        <v>0</v>
      </c>
      <c r="F37" s="219" t="s">
        <v>490</v>
      </c>
    </row>
    <row r="38" spans="1:6" s="215" customFormat="1" x14ac:dyDescent="0.25">
      <c r="A38" s="218">
        <v>30</v>
      </c>
      <c r="B38" s="223" t="s">
        <v>315</v>
      </c>
      <c r="C38" s="219" t="s">
        <v>240</v>
      </c>
      <c r="D38" s="219"/>
      <c r="E38" s="219" t="s">
        <v>0</v>
      </c>
      <c r="F38" s="219" t="s">
        <v>490</v>
      </c>
    </row>
    <row r="39" spans="1:6" s="215" customFormat="1" x14ac:dyDescent="0.25">
      <c r="A39" s="218">
        <v>31</v>
      </c>
      <c r="B39" s="223" t="s">
        <v>323</v>
      </c>
      <c r="C39" s="219" t="s">
        <v>240</v>
      </c>
      <c r="D39" s="219"/>
      <c r="E39" s="219" t="s">
        <v>0</v>
      </c>
      <c r="F39" s="219" t="s">
        <v>490</v>
      </c>
    </row>
    <row r="40" spans="1:6" s="215" customFormat="1" x14ac:dyDescent="0.25">
      <c r="A40" s="218">
        <v>32</v>
      </c>
      <c r="B40" s="224" t="s">
        <v>328</v>
      </c>
      <c r="C40" s="219" t="s">
        <v>240</v>
      </c>
      <c r="D40" s="219"/>
      <c r="E40" s="219" t="s">
        <v>0</v>
      </c>
      <c r="F40" s="219" t="s">
        <v>490</v>
      </c>
    </row>
    <row r="41" spans="1:6" s="215" customFormat="1" x14ac:dyDescent="0.25">
      <c r="A41" s="218">
        <v>33</v>
      </c>
      <c r="B41" s="224" t="s">
        <v>332</v>
      </c>
      <c r="C41" s="219" t="s">
        <v>240</v>
      </c>
      <c r="D41" s="219"/>
      <c r="E41" s="219" t="s">
        <v>240</v>
      </c>
      <c r="F41" s="219" t="s">
        <v>490</v>
      </c>
    </row>
    <row r="42" spans="1:6" s="215" customFormat="1" x14ac:dyDescent="0.25">
      <c r="A42" s="218">
        <v>34</v>
      </c>
      <c r="B42" s="223" t="s">
        <v>343</v>
      </c>
      <c r="C42" s="219" t="s">
        <v>240</v>
      </c>
      <c r="D42" s="219"/>
      <c r="E42" s="219" t="s">
        <v>0</v>
      </c>
      <c r="F42" s="219" t="s">
        <v>490</v>
      </c>
    </row>
    <row r="43" spans="1:6" s="215" customFormat="1" x14ac:dyDescent="0.25">
      <c r="A43" s="218">
        <v>35</v>
      </c>
      <c r="B43" s="223" t="s">
        <v>233</v>
      </c>
      <c r="C43" s="219" t="s">
        <v>0</v>
      </c>
      <c r="D43" s="219"/>
      <c r="E43" s="219" t="s">
        <v>0</v>
      </c>
      <c r="F43" s="219" t="s">
        <v>490</v>
      </c>
    </row>
    <row r="44" spans="1:6" s="215" customFormat="1" x14ac:dyDescent="0.25">
      <c r="A44" s="218">
        <v>36</v>
      </c>
      <c r="B44" s="223" t="s">
        <v>230</v>
      </c>
      <c r="C44" s="219" t="s">
        <v>240</v>
      </c>
      <c r="D44" s="219"/>
      <c r="E44" s="219" t="s">
        <v>0</v>
      </c>
      <c r="F44" s="219" t="s">
        <v>490</v>
      </c>
    </row>
    <row r="45" spans="1:6" s="215" customFormat="1" x14ac:dyDescent="0.25">
      <c r="A45" s="218">
        <v>37</v>
      </c>
      <c r="B45" s="223" t="s">
        <v>231</v>
      </c>
      <c r="C45" s="219" t="s">
        <v>240</v>
      </c>
      <c r="D45" s="219"/>
      <c r="E45" s="219" t="s">
        <v>0</v>
      </c>
      <c r="F45" s="219" t="s">
        <v>490</v>
      </c>
    </row>
    <row r="46" spans="1:6" s="215" customFormat="1" x14ac:dyDescent="0.25">
      <c r="A46" s="218">
        <v>38</v>
      </c>
      <c r="B46" s="223" t="s">
        <v>232</v>
      </c>
      <c r="C46" s="219" t="s">
        <v>240</v>
      </c>
      <c r="D46" s="219"/>
      <c r="E46" s="219" t="s">
        <v>0</v>
      </c>
      <c r="F46" s="219" t="s">
        <v>490</v>
      </c>
    </row>
  </sheetData>
  <mergeCells count="3">
    <mergeCell ref="A2:F2"/>
    <mergeCell ref="A4:F4"/>
    <mergeCell ref="A5:F5"/>
  </mergeCells>
  <pageMargins left="0.7" right="0.7" top="0.75" bottom="0.75" header="0.3" footer="0.3"/>
  <pageSetup scale="50"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L78"/>
  <sheetViews>
    <sheetView view="pageBreakPreview" topLeftCell="A70" zoomScale="60" zoomScaleNormal="100" workbookViewId="0">
      <selection activeCell="I65" sqref="I65"/>
    </sheetView>
  </sheetViews>
  <sheetFormatPr baseColWidth="10" defaultRowHeight="15" x14ac:dyDescent="0.25"/>
  <cols>
    <col min="1" max="1" width="3.7109375" style="73" customWidth="1"/>
    <col min="2" max="2" width="14" style="73" customWidth="1"/>
    <col min="3" max="3" width="21.28515625" style="73" customWidth="1"/>
    <col min="4" max="4" width="21.7109375" style="73" customWidth="1"/>
    <col min="5" max="5" width="14.85546875" style="82" bestFit="1" customWidth="1"/>
    <col min="6" max="6" width="24" style="15" bestFit="1" customWidth="1"/>
    <col min="7" max="7" width="11.7109375" style="83" customWidth="1"/>
    <col min="8" max="8" width="9.7109375" style="83" customWidth="1"/>
    <col min="9" max="9" width="25.85546875" style="83" bestFit="1" customWidth="1"/>
    <col min="10" max="10" width="28" style="16" bestFit="1" customWidth="1"/>
    <col min="11" max="11" width="15" style="16" customWidth="1"/>
    <col min="12" max="12" width="36.28515625" style="73" customWidth="1"/>
    <col min="13" max="16384" width="11.42578125" style="73"/>
  </cols>
  <sheetData>
    <row r="1" spans="1:12" ht="18.75" x14ac:dyDescent="0.3">
      <c r="A1" s="70"/>
      <c r="B1" s="291" t="s">
        <v>2</v>
      </c>
      <c r="C1" s="291"/>
      <c r="D1" s="291"/>
      <c r="E1" s="291"/>
      <c r="F1" s="291"/>
      <c r="G1" s="291"/>
      <c r="H1" s="291"/>
      <c r="I1" s="291"/>
      <c r="J1" s="291"/>
      <c r="K1" s="291"/>
      <c r="L1" s="291"/>
    </row>
    <row r="2" spans="1:12" ht="18.75" x14ac:dyDescent="0.3">
      <c r="A2" s="70"/>
      <c r="B2" s="291" t="s">
        <v>36</v>
      </c>
      <c r="C2" s="291"/>
      <c r="D2" s="291"/>
      <c r="E2" s="291"/>
      <c r="F2" s="291"/>
      <c r="G2" s="291"/>
      <c r="H2" s="291"/>
      <c r="I2" s="291"/>
      <c r="J2" s="291"/>
      <c r="K2" s="291"/>
      <c r="L2" s="291"/>
    </row>
    <row r="3" spans="1:12" ht="18.75" x14ac:dyDescent="0.3">
      <c r="A3" s="70"/>
      <c r="B3" s="49"/>
      <c r="C3" s="49"/>
      <c r="D3" s="49"/>
      <c r="E3" s="49"/>
      <c r="F3" s="49"/>
      <c r="G3" s="49"/>
      <c r="H3" s="49"/>
      <c r="I3" s="49"/>
      <c r="J3" s="49"/>
      <c r="K3" s="49"/>
      <c r="L3" s="74"/>
    </row>
    <row r="4" spans="1:12" ht="18.75" x14ac:dyDescent="0.3">
      <c r="A4" s="70"/>
      <c r="B4" s="291" t="s">
        <v>3</v>
      </c>
      <c r="C4" s="291"/>
      <c r="D4" s="291"/>
      <c r="E4" s="291"/>
      <c r="F4" s="291"/>
      <c r="G4" s="291"/>
      <c r="H4" s="291"/>
      <c r="I4" s="291"/>
      <c r="J4" s="291"/>
      <c r="K4" s="291"/>
      <c r="L4" s="291"/>
    </row>
    <row r="5" spans="1:12" s="78" customFormat="1" x14ac:dyDescent="0.25">
      <c r="A5" s="74"/>
      <c r="B5" s="75"/>
      <c r="C5" s="75"/>
      <c r="D5" s="75"/>
      <c r="E5" s="76"/>
      <c r="F5" s="5"/>
      <c r="G5" s="77"/>
      <c r="H5" s="77"/>
      <c r="I5" s="77"/>
      <c r="J5" s="6"/>
      <c r="K5" s="6"/>
      <c r="L5" s="75"/>
    </row>
    <row r="6" spans="1:12" ht="48" customHeight="1" x14ac:dyDescent="0.25">
      <c r="A6" s="70"/>
      <c r="B6" s="254" t="s">
        <v>4</v>
      </c>
      <c r="C6" s="255" t="s">
        <v>5</v>
      </c>
      <c r="D6" s="255" t="s">
        <v>6</v>
      </c>
      <c r="E6" s="255" t="s">
        <v>7</v>
      </c>
      <c r="F6" s="255" t="s">
        <v>8</v>
      </c>
      <c r="G6" s="256" t="s">
        <v>9</v>
      </c>
      <c r="H6" s="256" t="s">
        <v>10</v>
      </c>
      <c r="I6" s="256" t="s">
        <v>11</v>
      </c>
      <c r="J6" s="255" t="s">
        <v>12</v>
      </c>
      <c r="K6" s="255" t="s">
        <v>13</v>
      </c>
      <c r="L6" s="255" t="s">
        <v>14</v>
      </c>
    </row>
    <row r="7" spans="1:12" s="215" customFormat="1" ht="24" x14ac:dyDescent="0.25">
      <c r="A7" s="225"/>
      <c r="B7" s="269">
        <v>1</v>
      </c>
      <c r="C7" s="292" t="s">
        <v>181</v>
      </c>
      <c r="D7" s="143" t="s">
        <v>491</v>
      </c>
      <c r="E7" s="226">
        <v>0.67</v>
      </c>
      <c r="F7" s="257" t="s">
        <v>492</v>
      </c>
      <c r="G7" s="90">
        <v>12.1</v>
      </c>
      <c r="H7" s="79">
        <v>1</v>
      </c>
      <c r="I7" s="258">
        <v>85296107.099999994</v>
      </c>
      <c r="J7" s="242">
        <v>24874348520.77</v>
      </c>
      <c r="K7" s="286" t="s">
        <v>240</v>
      </c>
      <c r="L7" s="273" t="s">
        <v>493</v>
      </c>
    </row>
    <row r="8" spans="1:12" s="215" customFormat="1" ht="35.1" customHeight="1" x14ac:dyDescent="0.25">
      <c r="A8" s="225"/>
      <c r="B8" s="269"/>
      <c r="C8" s="292"/>
      <c r="D8" s="143" t="s">
        <v>183</v>
      </c>
      <c r="E8" s="226">
        <v>0.33</v>
      </c>
      <c r="F8" s="257" t="s">
        <v>492</v>
      </c>
      <c r="G8" s="90">
        <v>10.82</v>
      </c>
      <c r="H8" s="79">
        <v>2</v>
      </c>
      <c r="I8" s="258">
        <v>9037201535.8899994</v>
      </c>
      <c r="J8" s="242">
        <v>52256972542.43</v>
      </c>
      <c r="K8" s="286"/>
      <c r="L8" s="273"/>
    </row>
    <row r="9" spans="1:12" s="215" customFormat="1" ht="24.95" customHeight="1" x14ac:dyDescent="0.25">
      <c r="A9" s="225"/>
      <c r="B9" s="269">
        <v>2</v>
      </c>
      <c r="C9" s="270" t="s">
        <v>175</v>
      </c>
      <c r="D9" s="143" t="s">
        <v>189</v>
      </c>
      <c r="E9" s="226">
        <v>0.3</v>
      </c>
      <c r="F9" s="257" t="s">
        <v>492</v>
      </c>
      <c r="G9" s="90" t="s">
        <v>494</v>
      </c>
      <c r="H9" s="79">
        <v>1</v>
      </c>
      <c r="I9" s="258">
        <v>0</v>
      </c>
      <c r="J9" s="227">
        <v>437862640416.45001</v>
      </c>
      <c r="K9" s="282" t="s">
        <v>240</v>
      </c>
      <c r="L9" s="273" t="s">
        <v>495</v>
      </c>
    </row>
    <row r="10" spans="1:12" s="215" customFormat="1" ht="33.75" customHeight="1" x14ac:dyDescent="0.25">
      <c r="A10" s="225"/>
      <c r="B10" s="269"/>
      <c r="C10" s="270"/>
      <c r="D10" s="143" t="s">
        <v>190</v>
      </c>
      <c r="E10" s="226">
        <v>0.5</v>
      </c>
      <c r="F10" s="257" t="s">
        <v>492</v>
      </c>
      <c r="G10" s="90">
        <v>1.88</v>
      </c>
      <c r="H10" s="79">
        <v>11</v>
      </c>
      <c r="I10" s="258">
        <v>0</v>
      </c>
      <c r="J10" s="227">
        <v>43660612877.410004</v>
      </c>
      <c r="K10" s="282"/>
      <c r="L10" s="273"/>
    </row>
    <row r="11" spans="1:12" s="215" customFormat="1" ht="63.75" customHeight="1" x14ac:dyDescent="0.25">
      <c r="A11" s="228"/>
      <c r="B11" s="269"/>
      <c r="C11" s="270"/>
      <c r="D11" s="160" t="s">
        <v>191</v>
      </c>
      <c r="E11" s="226">
        <v>0.2</v>
      </c>
      <c r="F11" s="257" t="s">
        <v>492</v>
      </c>
      <c r="G11" s="90">
        <v>10.07</v>
      </c>
      <c r="H11" s="79">
        <v>11</v>
      </c>
      <c r="I11" s="258">
        <v>0</v>
      </c>
      <c r="J11" s="227">
        <v>11046404642.379999</v>
      </c>
      <c r="K11" s="282"/>
      <c r="L11" s="273"/>
    </row>
    <row r="12" spans="1:12" s="215" customFormat="1" ht="24.95" customHeight="1" x14ac:dyDescent="0.25">
      <c r="A12" s="279"/>
      <c r="B12" s="269">
        <v>3</v>
      </c>
      <c r="C12" s="269" t="s">
        <v>176</v>
      </c>
      <c r="D12" s="143" t="s">
        <v>199</v>
      </c>
      <c r="E12" s="226">
        <v>0.8</v>
      </c>
      <c r="F12" s="259">
        <v>10877609911.709999</v>
      </c>
      <c r="G12" s="90">
        <v>12.64</v>
      </c>
      <c r="H12" s="79">
        <v>5</v>
      </c>
      <c r="I12" s="258">
        <v>5973281946.7799997</v>
      </c>
      <c r="J12" s="227">
        <v>78309433947.910004</v>
      </c>
      <c r="K12" s="289" t="s">
        <v>0</v>
      </c>
      <c r="L12" s="273"/>
    </row>
    <row r="13" spans="1:12" s="215" customFormat="1" ht="24.95" customHeight="1" x14ac:dyDescent="0.25">
      <c r="A13" s="279"/>
      <c r="B13" s="269"/>
      <c r="C13" s="269"/>
      <c r="D13" s="143" t="s">
        <v>200</v>
      </c>
      <c r="E13" s="226">
        <v>0.2</v>
      </c>
      <c r="F13" s="259">
        <v>3403164784</v>
      </c>
      <c r="G13" s="90">
        <v>4.17</v>
      </c>
      <c r="H13" s="79">
        <v>7</v>
      </c>
      <c r="I13" s="258">
        <v>3374857653.6799998</v>
      </c>
      <c r="J13" s="227">
        <v>1544447105.51</v>
      </c>
      <c r="K13" s="289"/>
      <c r="L13" s="273"/>
    </row>
    <row r="14" spans="1:12" s="215" customFormat="1" ht="39.75" customHeight="1" x14ac:dyDescent="0.25">
      <c r="A14" s="228"/>
      <c r="B14" s="229">
        <v>4</v>
      </c>
      <c r="C14" s="229" t="s">
        <v>178</v>
      </c>
      <c r="D14" s="143" t="s">
        <v>208</v>
      </c>
      <c r="E14" s="226">
        <v>1</v>
      </c>
      <c r="F14" s="259">
        <v>17562809716</v>
      </c>
      <c r="G14" s="90">
        <v>2.2799999999999998</v>
      </c>
      <c r="H14" s="79">
        <v>18</v>
      </c>
      <c r="I14" s="258">
        <v>29639506562.389999</v>
      </c>
      <c r="J14" s="227">
        <v>85780699607.979996</v>
      </c>
      <c r="K14" s="230" t="s">
        <v>0</v>
      </c>
      <c r="L14" s="231"/>
    </row>
    <row r="15" spans="1:12" s="215" customFormat="1" ht="28.5" customHeight="1" x14ac:dyDescent="0.25">
      <c r="A15" s="279"/>
      <c r="B15" s="269">
        <v>5</v>
      </c>
      <c r="C15" s="269" t="s">
        <v>179</v>
      </c>
      <c r="D15" s="143" t="s">
        <v>215</v>
      </c>
      <c r="E15" s="226">
        <v>0.4</v>
      </c>
      <c r="F15" s="259">
        <v>15543245344</v>
      </c>
      <c r="G15" s="90">
        <v>2.54</v>
      </c>
      <c r="H15" s="79">
        <v>2</v>
      </c>
      <c r="I15" s="258">
        <v>211504373.34999999</v>
      </c>
      <c r="J15" s="227">
        <v>72016983308.539993</v>
      </c>
      <c r="K15" s="275" t="s">
        <v>240</v>
      </c>
      <c r="L15" s="273" t="s">
        <v>496</v>
      </c>
    </row>
    <row r="16" spans="1:12" s="215" customFormat="1" ht="28.5" customHeight="1" x14ac:dyDescent="0.25">
      <c r="A16" s="279"/>
      <c r="B16" s="269"/>
      <c r="C16" s="269"/>
      <c r="D16" s="143" t="s">
        <v>216</v>
      </c>
      <c r="E16" s="226">
        <v>0.4</v>
      </c>
      <c r="F16" s="259">
        <v>1854911973</v>
      </c>
      <c r="G16" s="90">
        <v>3.86</v>
      </c>
      <c r="H16" s="79">
        <v>1</v>
      </c>
      <c r="I16" s="258">
        <v>0</v>
      </c>
      <c r="J16" s="227">
        <v>94985280840.869995</v>
      </c>
      <c r="K16" s="275"/>
      <c r="L16" s="273"/>
    </row>
    <row r="17" spans="1:12" s="215" customFormat="1" ht="30" customHeight="1" x14ac:dyDescent="0.25">
      <c r="A17" s="279"/>
      <c r="B17" s="269"/>
      <c r="C17" s="269"/>
      <c r="D17" s="143" t="s">
        <v>217</v>
      </c>
      <c r="E17" s="226">
        <v>0.2</v>
      </c>
      <c r="F17" s="257" t="s">
        <v>497</v>
      </c>
      <c r="G17" s="90" t="s">
        <v>494</v>
      </c>
      <c r="H17" s="79">
        <v>2</v>
      </c>
      <c r="I17" s="258">
        <v>0</v>
      </c>
      <c r="J17" s="227">
        <v>84925498588.559998</v>
      </c>
      <c r="K17" s="275"/>
      <c r="L17" s="273"/>
    </row>
    <row r="18" spans="1:12" s="215" customFormat="1" ht="35.1" customHeight="1" x14ac:dyDescent="0.25">
      <c r="A18" s="225"/>
      <c r="B18" s="88">
        <v>6</v>
      </c>
      <c r="C18" s="160" t="s">
        <v>436</v>
      </c>
      <c r="D18" s="143" t="s">
        <v>437</v>
      </c>
      <c r="E18" s="226">
        <v>1</v>
      </c>
      <c r="F18" s="227">
        <v>108855288259</v>
      </c>
      <c r="G18" s="90">
        <v>1.94</v>
      </c>
      <c r="H18" s="79">
        <v>17</v>
      </c>
      <c r="I18" s="90">
        <v>4</v>
      </c>
      <c r="J18" s="227">
        <v>430857251491.16998</v>
      </c>
      <c r="K18" s="90" t="s">
        <v>0</v>
      </c>
      <c r="L18" s="231" t="s">
        <v>396</v>
      </c>
    </row>
    <row r="19" spans="1:12" s="215" customFormat="1" ht="24.95" customHeight="1" x14ac:dyDescent="0.25">
      <c r="A19" s="225"/>
      <c r="B19" s="269">
        <v>7</v>
      </c>
      <c r="C19" s="270" t="s">
        <v>442</v>
      </c>
      <c r="D19" s="143" t="s">
        <v>443</v>
      </c>
      <c r="E19" s="226">
        <v>0.6</v>
      </c>
      <c r="F19" s="233">
        <v>12873343795</v>
      </c>
      <c r="G19" s="90">
        <v>3.76</v>
      </c>
      <c r="H19" s="90">
        <v>2</v>
      </c>
      <c r="I19" s="90">
        <v>8</v>
      </c>
      <c r="J19" s="227">
        <v>56266805199.339996</v>
      </c>
      <c r="K19" s="285" t="s">
        <v>0</v>
      </c>
      <c r="L19" s="273"/>
    </row>
    <row r="20" spans="1:12" s="215" customFormat="1" ht="24.95" customHeight="1" x14ac:dyDescent="0.25">
      <c r="A20" s="228"/>
      <c r="B20" s="269"/>
      <c r="C20" s="270"/>
      <c r="D20" s="160" t="s">
        <v>444</v>
      </c>
      <c r="E20" s="226">
        <v>0.4</v>
      </c>
      <c r="F20" s="233">
        <v>819530739</v>
      </c>
      <c r="G20" s="90">
        <v>12.81</v>
      </c>
      <c r="H20" s="90">
        <v>1</v>
      </c>
      <c r="I20" s="90">
        <v>3</v>
      </c>
      <c r="J20" s="227">
        <v>4023215259.9000001</v>
      </c>
      <c r="K20" s="285"/>
      <c r="L20" s="273"/>
    </row>
    <row r="21" spans="1:12" s="215" customFormat="1" ht="24.95" customHeight="1" x14ac:dyDescent="0.25">
      <c r="A21" s="279"/>
      <c r="B21" s="269">
        <v>8</v>
      </c>
      <c r="C21" s="288" t="s">
        <v>450</v>
      </c>
      <c r="D21" s="243" t="s">
        <v>451</v>
      </c>
      <c r="E21" s="226">
        <v>0.5</v>
      </c>
      <c r="F21" s="233">
        <v>31365386000</v>
      </c>
      <c r="G21" s="90">
        <v>1.51</v>
      </c>
      <c r="H21" s="90">
        <v>14</v>
      </c>
      <c r="I21" s="90">
        <v>11</v>
      </c>
      <c r="J21" s="227">
        <v>622168492665</v>
      </c>
      <c r="K21" s="286" t="s">
        <v>240</v>
      </c>
      <c r="L21" s="273" t="s">
        <v>498</v>
      </c>
    </row>
    <row r="22" spans="1:12" s="215" customFormat="1" ht="24.95" customHeight="1" x14ac:dyDescent="0.25">
      <c r="A22" s="279"/>
      <c r="B22" s="269"/>
      <c r="C22" s="288"/>
      <c r="D22" s="243" t="s">
        <v>452</v>
      </c>
      <c r="E22" s="226">
        <v>0.5</v>
      </c>
      <c r="F22" s="233">
        <v>6171150000</v>
      </c>
      <c r="G22" s="90">
        <v>1.51</v>
      </c>
      <c r="H22" s="90">
        <v>5</v>
      </c>
      <c r="I22" s="90">
        <v>3</v>
      </c>
      <c r="J22" s="227">
        <v>43300111126.610001</v>
      </c>
      <c r="K22" s="286"/>
      <c r="L22" s="273"/>
    </row>
    <row r="23" spans="1:12" s="215" customFormat="1" ht="39.75" customHeight="1" x14ac:dyDescent="0.25">
      <c r="A23" s="228"/>
      <c r="B23" s="229">
        <v>9</v>
      </c>
      <c r="C23" s="143" t="s">
        <v>463</v>
      </c>
      <c r="D23" s="143" t="s">
        <v>464</v>
      </c>
      <c r="E23" s="226">
        <v>1</v>
      </c>
      <c r="F23" s="233">
        <v>56266962395</v>
      </c>
      <c r="G23" s="234">
        <v>7.41</v>
      </c>
      <c r="H23" s="90">
        <v>19</v>
      </c>
      <c r="I23" s="90">
        <v>13</v>
      </c>
      <c r="J23" s="227">
        <v>282808185885.29999</v>
      </c>
      <c r="K23" s="235" t="s">
        <v>0</v>
      </c>
      <c r="L23" s="231"/>
    </row>
    <row r="24" spans="1:12" s="215" customFormat="1" ht="24.95" customHeight="1" x14ac:dyDescent="0.25">
      <c r="A24" s="236"/>
      <c r="B24" s="88">
        <v>10</v>
      </c>
      <c r="C24" s="143" t="s">
        <v>475</v>
      </c>
      <c r="D24" s="143" t="s">
        <v>499</v>
      </c>
      <c r="E24" s="226">
        <v>1</v>
      </c>
      <c r="F24" s="233">
        <v>19254507266</v>
      </c>
      <c r="G24" s="90">
        <v>12.9</v>
      </c>
      <c r="H24" s="90">
        <v>10</v>
      </c>
      <c r="I24" s="90">
        <v>7</v>
      </c>
      <c r="J24" s="227">
        <v>76629747433.080002</v>
      </c>
      <c r="K24" s="245" t="s">
        <v>240</v>
      </c>
      <c r="L24" s="231" t="s">
        <v>500</v>
      </c>
    </row>
    <row r="25" spans="1:12" ht="54.95" customHeight="1" x14ac:dyDescent="0.25">
      <c r="A25" s="70"/>
      <c r="B25" s="269">
        <v>11</v>
      </c>
      <c r="C25" s="290" t="s">
        <v>97</v>
      </c>
      <c r="D25" s="86" t="s">
        <v>96</v>
      </c>
      <c r="E25" s="84">
        <v>0.4</v>
      </c>
      <c r="F25" s="259">
        <v>1265000000</v>
      </c>
      <c r="G25" s="79">
        <v>87.28</v>
      </c>
      <c r="H25" s="79">
        <v>10</v>
      </c>
      <c r="I25" s="79">
        <v>1</v>
      </c>
      <c r="J25" s="260"/>
      <c r="K25" s="275" t="s">
        <v>530</v>
      </c>
      <c r="L25" s="273" t="s">
        <v>100</v>
      </c>
    </row>
    <row r="26" spans="1:12" ht="54.95" customHeight="1" x14ac:dyDescent="0.25">
      <c r="A26" s="70"/>
      <c r="B26" s="269"/>
      <c r="C26" s="290"/>
      <c r="D26" s="86" t="s">
        <v>98</v>
      </c>
      <c r="E26" s="84">
        <v>0.3</v>
      </c>
      <c r="F26" s="259">
        <v>16381930418</v>
      </c>
      <c r="G26" s="79">
        <v>4.47</v>
      </c>
      <c r="H26" s="79">
        <v>1</v>
      </c>
      <c r="I26" s="79">
        <v>2</v>
      </c>
      <c r="J26" s="260"/>
      <c r="K26" s="275"/>
      <c r="L26" s="273"/>
    </row>
    <row r="27" spans="1:12" ht="54.95" customHeight="1" x14ac:dyDescent="0.25">
      <c r="A27" s="70"/>
      <c r="B27" s="269"/>
      <c r="C27" s="290"/>
      <c r="D27" s="86" t="s">
        <v>99</v>
      </c>
      <c r="E27" s="84">
        <v>0.3</v>
      </c>
      <c r="F27" s="259">
        <v>268294763</v>
      </c>
      <c r="G27" s="79">
        <v>199.26</v>
      </c>
      <c r="H27" s="79">
        <v>3</v>
      </c>
      <c r="I27" s="79">
        <v>1</v>
      </c>
      <c r="J27" s="261"/>
      <c r="K27" s="275"/>
      <c r="L27" s="273"/>
    </row>
    <row r="28" spans="1:12" ht="51.95" customHeight="1" x14ac:dyDescent="0.25">
      <c r="A28" s="70"/>
      <c r="B28" s="269">
        <v>12</v>
      </c>
      <c r="C28" s="290" t="s">
        <v>104</v>
      </c>
      <c r="D28" s="86" t="s">
        <v>101</v>
      </c>
      <c r="E28" s="84">
        <v>0.5</v>
      </c>
      <c r="F28" s="262">
        <v>43194578877</v>
      </c>
      <c r="G28" s="79">
        <v>23.48</v>
      </c>
      <c r="H28" s="79">
        <v>11</v>
      </c>
      <c r="I28" s="79">
        <v>11</v>
      </c>
      <c r="J28" s="260">
        <v>280722692050</v>
      </c>
      <c r="K28" s="274" t="s">
        <v>105</v>
      </c>
      <c r="L28" s="274" t="s">
        <v>105</v>
      </c>
    </row>
    <row r="29" spans="1:12" ht="51.95" customHeight="1" x14ac:dyDescent="0.25">
      <c r="A29" s="70"/>
      <c r="B29" s="269"/>
      <c r="C29" s="290"/>
      <c r="D29" s="86" t="s">
        <v>102</v>
      </c>
      <c r="E29" s="84">
        <v>0.25</v>
      </c>
      <c r="F29" s="262">
        <v>742267451</v>
      </c>
      <c r="G29" s="79">
        <v>3.37</v>
      </c>
      <c r="H29" s="79">
        <v>2</v>
      </c>
      <c r="I29" s="79">
        <v>0</v>
      </c>
      <c r="J29" s="260">
        <v>72961881756.389999</v>
      </c>
      <c r="K29" s="274"/>
      <c r="L29" s="274"/>
    </row>
    <row r="30" spans="1:12" ht="51.95" customHeight="1" x14ac:dyDescent="0.25">
      <c r="A30" s="80"/>
      <c r="B30" s="269"/>
      <c r="C30" s="290"/>
      <c r="D30" s="87" t="s">
        <v>103</v>
      </c>
      <c r="E30" s="84">
        <v>0.25</v>
      </c>
      <c r="F30" s="262">
        <v>6090911635</v>
      </c>
      <c r="G30" s="79">
        <v>19.93</v>
      </c>
      <c r="H30" s="79">
        <v>1</v>
      </c>
      <c r="I30" s="79">
        <v>3</v>
      </c>
      <c r="J30" s="260">
        <v>76300096023.410004</v>
      </c>
      <c r="K30" s="274"/>
      <c r="L30" s="274"/>
    </row>
    <row r="31" spans="1:12" ht="50.1" customHeight="1" x14ac:dyDescent="0.25">
      <c r="A31" s="81"/>
      <c r="B31" s="88">
        <v>13</v>
      </c>
      <c r="C31" s="89" t="s">
        <v>108</v>
      </c>
      <c r="D31" s="79"/>
      <c r="E31" s="84">
        <v>1</v>
      </c>
      <c r="F31" s="262">
        <v>9602258145</v>
      </c>
      <c r="G31" s="79">
        <v>5.35</v>
      </c>
      <c r="H31" s="79">
        <v>2</v>
      </c>
      <c r="I31" s="79">
        <v>7</v>
      </c>
      <c r="J31" s="260">
        <v>57641417886.550003</v>
      </c>
      <c r="K31" s="90" t="s">
        <v>105</v>
      </c>
      <c r="L31" s="90" t="s">
        <v>105</v>
      </c>
    </row>
    <row r="32" spans="1:12" ht="50.1" customHeight="1" x14ac:dyDescent="0.25">
      <c r="A32" s="81"/>
      <c r="B32" s="88">
        <v>14</v>
      </c>
      <c r="C32" s="79" t="s">
        <v>107</v>
      </c>
      <c r="D32" s="86"/>
      <c r="E32" s="84">
        <v>1</v>
      </c>
      <c r="F32" s="262">
        <v>11683003371</v>
      </c>
      <c r="G32" s="85">
        <v>3.04</v>
      </c>
      <c r="H32" s="79">
        <v>6</v>
      </c>
      <c r="I32" s="79">
        <v>0</v>
      </c>
      <c r="J32" s="260">
        <v>49551969638.959999</v>
      </c>
      <c r="K32" s="90" t="s">
        <v>105</v>
      </c>
      <c r="L32" s="90" t="s">
        <v>105</v>
      </c>
    </row>
    <row r="33" spans="1:12" ht="50.1" customHeight="1" x14ac:dyDescent="0.25">
      <c r="A33" s="81"/>
      <c r="B33" s="88">
        <v>15</v>
      </c>
      <c r="C33" s="79" t="s">
        <v>106</v>
      </c>
      <c r="D33" s="86"/>
      <c r="E33" s="84">
        <v>1</v>
      </c>
      <c r="F33" s="262">
        <v>13754045273</v>
      </c>
      <c r="G33" s="79">
        <v>3.14</v>
      </c>
      <c r="H33" s="79">
        <v>9</v>
      </c>
      <c r="I33" s="79">
        <v>2</v>
      </c>
      <c r="J33" s="260">
        <v>41250328630.400002</v>
      </c>
      <c r="K33" s="90" t="s">
        <v>105</v>
      </c>
      <c r="L33" s="90" t="s">
        <v>105</v>
      </c>
    </row>
    <row r="34" spans="1:12" s="215" customFormat="1" ht="57" customHeight="1" x14ac:dyDescent="0.25">
      <c r="A34" s="225"/>
      <c r="B34" s="269">
        <v>16</v>
      </c>
      <c r="C34" s="269" t="s">
        <v>434</v>
      </c>
      <c r="D34" s="143" t="s">
        <v>501</v>
      </c>
      <c r="E34" s="226">
        <v>0.5</v>
      </c>
      <c r="F34" s="263"/>
      <c r="G34" s="90">
        <v>19.52</v>
      </c>
      <c r="H34" s="79">
        <v>4</v>
      </c>
      <c r="I34" s="90">
        <v>1</v>
      </c>
      <c r="J34" s="227"/>
      <c r="K34" s="286" t="s">
        <v>240</v>
      </c>
      <c r="L34" s="280" t="s">
        <v>502</v>
      </c>
    </row>
    <row r="35" spans="1:12" s="215" customFormat="1" ht="253.5" customHeight="1" x14ac:dyDescent="0.25">
      <c r="A35" s="225"/>
      <c r="B35" s="269"/>
      <c r="C35" s="269"/>
      <c r="D35" s="143" t="s">
        <v>503</v>
      </c>
      <c r="E35" s="226">
        <v>0.5</v>
      </c>
      <c r="F35" s="233"/>
      <c r="G35" s="90">
        <v>18.41</v>
      </c>
      <c r="H35" s="90">
        <v>3</v>
      </c>
      <c r="I35" s="90">
        <v>1</v>
      </c>
      <c r="J35" s="227"/>
      <c r="K35" s="286"/>
      <c r="L35" s="273"/>
    </row>
    <row r="36" spans="1:12" s="215" customFormat="1" ht="55.5" customHeight="1" x14ac:dyDescent="0.25">
      <c r="A36" s="225"/>
      <c r="B36" s="269">
        <v>17</v>
      </c>
      <c r="C36" s="270" t="s">
        <v>358</v>
      </c>
      <c r="D36" s="143" t="s">
        <v>359</v>
      </c>
      <c r="E36" s="226">
        <v>0.5</v>
      </c>
      <c r="F36" s="233">
        <v>3114356905</v>
      </c>
      <c r="G36" s="90">
        <v>5.04</v>
      </c>
      <c r="H36" s="90"/>
      <c r="I36" s="90"/>
      <c r="J36" s="227"/>
      <c r="K36" s="282" t="s">
        <v>240</v>
      </c>
      <c r="L36" s="280" t="s">
        <v>504</v>
      </c>
    </row>
    <row r="37" spans="1:12" s="215" customFormat="1" ht="147.75" customHeight="1" x14ac:dyDescent="0.25">
      <c r="A37" s="228"/>
      <c r="B37" s="269"/>
      <c r="C37" s="270"/>
      <c r="D37" s="160" t="s">
        <v>360</v>
      </c>
      <c r="E37" s="226">
        <v>0.5</v>
      </c>
      <c r="F37" s="233">
        <v>1654467369</v>
      </c>
      <c r="G37" s="90">
        <v>3.04</v>
      </c>
      <c r="H37" s="90"/>
      <c r="I37" s="90"/>
      <c r="J37" s="227"/>
      <c r="K37" s="282"/>
      <c r="L37" s="273"/>
    </row>
    <row r="38" spans="1:12" s="215" customFormat="1" ht="132" customHeight="1" x14ac:dyDescent="0.25">
      <c r="A38" s="236"/>
      <c r="B38" s="88">
        <v>18</v>
      </c>
      <c r="C38" s="229" t="s">
        <v>433</v>
      </c>
      <c r="D38" s="244" t="s">
        <v>433</v>
      </c>
      <c r="E38" s="226">
        <v>1</v>
      </c>
      <c r="F38" s="233"/>
      <c r="G38" s="90">
        <v>4.32</v>
      </c>
      <c r="H38" s="90">
        <v>9</v>
      </c>
      <c r="I38" s="90">
        <v>3</v>
      </c>
      <c r="J38" s="227"/>
      <c r="K38" s="245" t="s">
        <v>240</v>
      </c>
      <c r="L38" s="239" t="s">
        <v>505</v>
      </c>
    </row>
    <row r="39" spans="1:12" s="215" customFormat="1" ht="84" customHeight="1" x14ac:dyDescent="0.25">
      <c r="A39" s="236"/>
      <c r="B39" s="269">
        <v>19</v>
      </c>
      <c r="C39" s="270" t="s">
        <v>374</v>
      </c>
      <c r="D39" s="160" t="s">
        <v>375</v>
      </c>
      <c r="E39" s="226">
        <v>0.5</v>
      </c>
      <c r="F39" s="233">
        <v>4188126509</v>
      </c>
      <c r="G39" s="90">
        <v>16.73</v>
      </c>
      <c r="H39" s="90">
        <v>3</v>
      </c>
      <c r="I39" s="90">
        <v>0</v>
      </c>
      <c r="J39" s="237"/>
      <c r="K39" s="286" t="s">
        <v>240</v>
      </c>
      <c r="L39" s="287" t="s">
        <v>506</v>
      </c>
    </row>
    <row r="40" spans="1:12" s="215" customFormat="1" ht="68.25" customHeight="1" x14ac:dyDescent="0.25">
      <c r="A40" s="228"/>
      <c r="B40" s="269"/>
      <c r="C40" s="270"/>
      <c r="D40" s="143" t="s">
        <v>376</v>
      </c>
      <c r="E40" s="226">
        <v>0.5</v>
      </c>
      <c r="F40" s="233">
        <v>637965173</v>
      </c>
      <c r="G40" s="90">
        <v>9.1</v>
      </c>
      <c r="H40" s="90">
        <v>4</v>
      </c>
      <c r="I40" s="90">
        <v>0</v>
      </c>
      <c r="J40" s="237"/>
      <c r="K40" s="286"/>
      <c r="L40" s="287"/>
    </row>
    <row r="41" spans="1:12" s="215" customFormat="1" ht="66" customHeight="1" x14ac:dyDescent="0.25">
      <c r="A41" s="228"/>
      <c r="B41" s="229">
        <v>20</v>
      </c>
      <c r="C41" s="143" t="s">
        <v>385</v>
      </c>
      <c r="D41" s="143" t="s">
        <v>385</v>
      </c>
      <c r="E41" s="226">
        <v>1</v>
      </c>
      <c r="F41" s="233"/>
      <c r="G41" s="234">
        <v>21.26</v>
      </c>
      <c r="H41" s="90">
        <v>5</v>
      </c>
      <c r="I41" s="90">
        <v>3</v>
      </c>
      <c r="J41" s="227"/>
      <c r="K41" s="246" t="s">
        <v>240</v>
      </c>
      <c r="L41" s="231" t="s">
        <v>507</v>
      </c>
    </row>
    <row r="42" spans="1:12" s="215" customFormat="1" ht="129" customHeight="1" x14ac:dyDescent="0.25">
      <c r="A42" s="228"/>
      <c r="B42" s="270">
        <v>21</v>
      </c>
      <c r="C42" s="270" t="s">
        <v>388</v>
      </c>
      <c r="D42" s="143" t="s">
        <v>389</v>
      </c>
      <c r="E42" s="226">
        <v>0.51</v>
      </c>
      <c r="F42" s="233"/>
      <c r="G42" s="234">
        <v>17.39</v>
      </c>
      <c r="H42" s="90">
        <v>1</v>
      </c>
      <c r="I42" s="90">
        <v>0</v>
      </c>
      <c r="J42" s="227"/>
      <c r="K42" s="282" t="s">
        <v>240</v>
      </c>
      <c r="L42" s="239" t="s">
        <v>508</v>
      </c>
    </row>
    <row r="43" spans="1:12" s="215" customFormat="1" ht="55.5" customHeight="1" x14ac:dyDescent="0.25">
      <c r="A43" s="228"/>
      <c r="B43" s="270"/>
      <c r="C43" s="270"/>
      <c r="D43" s="143" t="s">
        <v>390</v>
      </c>
      <c r="E43" s="226">
        <v>0.49</v>
      </c>
      <c r="F43" s="233"/>
      <c r="G43" s="234">
        <v>7.71</v>
      </c>
      <c r="H43" s="90">
        <v>2</v>
      </c>
      <c r="I43" s="90">
        <v>21</v>
      </c>
      <c r="J43" s="227"/>
      <c r="K43" s="282"/>
      <c r="L43" s="231"/>
    </row>
    <row r="44" spans="1:12" s="215" customFormat="1" ht="66" customHeight="1" x14ac:dyDescent="0.25">
      <c r="A44" s="228"/>
      <c r="B44" s="229">
        <v>22</v>
      </c>
      <c r="C44" s="143" t="s">
        <v>397</v>
      </c>
      <c r="D44" s="143" t="s">
        <v>397</v>
      </c>
      <c r="E44" s="226">
        <v>1</v>
      </c>
      <c r="F44" s="233">
        <v>18791182922</v>
      </c>
      <c r="G44" s="234">
        <v>27.35</v>
      </c>
      <c r="H44" s="90">
        <v>11</v>
      </c>
      <c r="I44" s="90">
        <v>13</v>
      </c>
      <c r="J44" s="227"/>
      <c r="K44" s="246" t="s">
        <v>240</v>
      </c>
      <c r="L44" s="231" t="s">
        <v>509</v>
      </c>
    </row>
    <row r="45" spans="1:12" s="215" customFormat="1" ht="79.5" customHeight="1" x14ac:dyDescent="0.25">
      <c r="A45" s="228"/>
      <c r="B45" s="270">
        <v>23</v>
      </c>
      <c r="C45" s="269" t="s">
        <v>402</v>
      </c>
      <c r="D45" s="143" t="s">
        <v>403</v>
      </c>
      <c r="E45" s="226">
        <v>0.5</v>
      </c>
      <c r="F45" s="233">
        <v>3231806</v>
      </c>
      <c r="G45" s="234">
        <v>24.66</v>
      </c>
      <c r="H45" s="90">
        <v>3</v>
      </c>
      <c r="I45" s="90">
        <v>2</v>
      </c>
      <c r="J45" s="227"/>
      <c r="K45" s="282" t="s">
        <v>240</v>
      </c>
      <c r="L45" s="283" t="s">
        <v>510</v>
      </c>
    </row>
    <row r="46" spans="1:12" s="215" customFormat="1" ht="70.5" customHeight="1" x14ac:dyDescent="0.25">
      <c r="A46" s="228"/>
      <c r="B46" s="270"/>
      <c r="C46" s="269"/>
      <c r="D46" s="143" t="s">
        <v>404</v>
      </c>
      <c r="E46" s="226">
        <v>0.5</v>
      </c>
      <c r="F46" s="233">
        <v>2783117000</v>
      </c>
      <c r="G46" s="234">
        <v>15.49</v>
      </c>
      <c r="H46" s="90">
        <v>3</v>
      </c>
      <c r="I46" s="90">
        <v>4</v>
      </c>
      <c r="J46" s="227"/>
      <c r="K46" s="282"/>
      <c r="L46" s="284"/>
    </row>
    <row r="47" spans="1:12" s="215" customFormat="1" ht="125.25" customHeight="1" x14ac:dyDescent="0.25">
      <c r="A47" s="228"/>
      <c r="B47" s="229">
        <v>24</v>
      </c>
      <c r="C47" s="143" t="s">
        <v>409</v>
      </c>
      <c r="D47" s="143" t="s">
        <v>409</v>
      </c>
      <c r="E47" s="226">
        <v>1</v>
      </c>
      <c r="F47" s="233">
        <v>41503667483.129997</v>
      </c>
      <c r="G47" s="234">
        <v>3.13</v>
      </c>
      <c r="H47" s="90">
        <v>23</v>
      </c>
      <c r="I47" s="90">
        <v>15</v>
      </c>
      <c r="J47" s="227"/>
      <c r="K47" s="246" t="s">
        <v>240</v>
      </c>
      <c r="L47" s="239" t="s">
        <v>511</v>
      </c>
    </row>
    <row r="48" spans="1:12" s="215" customFormat="1" ht="84.75" customHeight="1" x14ac:dyDescent="0.25">
      <c r="A48" s="228"/>
      <c r="B48" s="229">
        <v>25</v>
      </c>
      <c r="C48" s="143" t="s">
        <v>424</v>
      </c>
      <c r="D48" s="143" t="s">
        <v>512</v>
      </c>
      <c r="E48" s="226">
        <v>1</v>
      </c>
      <c r="F48" s="233">
        <v>25445087000</v>
      </c>
      <c r="G48" s="234">
        <v>3.58</v>
      </c>
      <c r="H48" s="90">
        <v>23</v>
      </c>
      <c r="I48" s="90">
        <v>15</v>
      </c>
      <c r="J48" s="227">
        <v>223950610932.14999</v>
      </c>
      <c r="K48" s="235" t="s">
        <v>105</v>
      </c>
      <c r="L48" s="90" t="s">
        <v>0</v>
      </c>
    </row>
    <row r="49" spans="1:12" s="215" customFormat="1" ht="35.1" customHeight="1" x14ac:dyDescent="0.25">
      <c r="A49" s="225"/>
      <c r="B49" s="269">
        <v>26</v>
      </c>
      <c r="C49" s="269" t="s">
        <v>355</v>
      </c>
      <c r="D49" s="143" t="s">
        <v>279</v>
      </c>
      <c r="E49" s="226">
        <v>0.5</v>
      </c>
      <c r="F49" s="233">
        <v>6068021274</v>
      </c>
      <c r="G49" s="90">
        <v>2.89</v>
      </c>
      <c r="H49" s="79">
        <v>1</v>
      </c>
      <c r="I49" s="90">
        <v>5</v>
      </c>
      <c r="J49" s="238">
        <v>64844493001.660004</v>
      </c>
      <c r="K49" s="285" t="s">
        <v>105</v>
      </c>
      <c r="L49" s="273"/>
    </row>
    <row r="50" spans="1:12" s="215" customFormat="1" ht="35.1" customHeight="1" x14ac:dyDescent="0.25">
      <c r="A50" s="225"/>
      <c r="B50" s="269"/>
      <c r="C50" s="269"/>
      <c r="D50" s="143" t="s">
        <v>513</v>
      </c>
      <c r="E50" s="226">
        <v>0.5</v>
      </c>
      <c r="F50" s="233">
        <v>2698807746</v>
      </c>
      <c r="G50" s="90">
        <v>1.98</v>
      </c>
      <c r="H50" s="90">
        <v>10</v>
      </c>
      <c r="I50" s="90">
        <v>1</v>
      </c>
      <c r="J50" s="238">
        <v>39185831965.190002</v>
      </c>
      <c r="K50" s="285"/>
      <c r="L50" s="273"/>
    </row>
    <row r="51" spans="1:12" s="215" customFormat="1" ht="81" customHeight="1" x14ac:dyDescent="0.25">
      <c r="A51" s="225"/>
      <c r="B51" s="269">
        <v>27</v>
      </c>
      <c r="C51" s="270" t="s">
        <v>284</v>
      </c>
      <c r="D51" s="143" t="s">
        <v>285</v>
      </c>
      <c r="E51" s="226">
        <v>0.8</v>
      </c>
      <c r="F51" s="233">
        <v>21424590788</v>
      </c>
      <c r="G51" s="90"/>
      <c r="H51" s="90"/>
      <c r="I51" s="90"/>
      <c r="J51" s="227"/>
      <c r="K51" s="281" t="s">
        <v>240</v>
      </c>
      <c r="L51" s="280" t="s">
        <v>514</v>
      </c>
    </row>
    <row r="52" spans="1:12" s="215" customFormat="1" ht="33" customHeight="1" x14ac:dyDescent="0.25">
      <c r="A52" s="228"/>
      <c r="B52" s="269"/>
      <c r="C52" s="270"/>
      <c r="D52" s="160" t="s">
        <v>287</v>
      </c>
      <c r="E52" s="226">
        <v>0.2</v>
      </c>
      <c r="F52" s="233">
        <v>5188442299</v>
      </c>
      <c r="G52" s="90"/>
      <c r="H52" s="90"/>
      <c r="I52" s="90"/>
      <c r="J52" s="227"/>
      <c r="K52" s="281"/>
      <c r="L52" s="280"/>
    </row>
    <row r="53" spans="1:12" s="215" customFormat="1" ht="125.25" customHeight="1" x14ac:dyDescent="0.25">
      <c r="A53" s="279"/>
      <c r="B53" s="269">
        <v>28</v>
      </c>
      <c r="C53" s="270" t="s">
        <v>293</v>
      </c>
      <c r="D53" s="143" t="s">
        <v>294</v>
      </c>
      <c r="E53" s="226">
        <v>0.3</v>
      </c>
      <c r="F53" s="233"/>
      <c r="G53" s="90"/>
      <c r="H53" s="90"/>
      <c r="I53" s="90"/>
      <c r="J53" s="227"/>
      <c r="K53" s="281" t="s">
        <v>240</v>
      </c>
      <c r="L53" s="239" t="s">
        <v>515</v>
      </c>
    </row>
    <row r="54" spans="1:12" s="215" customFormat="1" ht="24.95" customHeight="1" x14ac:dyDescent="0.25">
      <c r="A54" s="279"/>
      <c r="B54" s="269"/>
      <c r="C54" s="270"/>
      <c r="D54" s="143" t="s">
        <v>295</v>
      </c>
      <c r="E54" s="226">
        <v>0.35</v>
      </c>
      <c r="F54" s="233">
        <v>5192000000</v>
      </c>
      <c r="G54" s="90"/>
      <c r="H54" s="90">
        <v>5</v>
      </c>
      <c r="I54" s="90">
        <v>1</v>
      </c>
      <c r="J54" s="227"/>
      <c r="K54" s="281"/>
      <c r="L54" s="240"/>
    </row>
    <row r="55" spans="1:12" s="215" customFormat="1" ht="131.25" customHeight="1" x14ac:dyDescent="0.25">
      <c r="A55" s="279"/>
      <c r="B55" s="269"/>
      <c r="C55" s="270"/>
      <c r="D55" s="143" t="s">
        <v>296</v>
      </c>
      <c r="E55" s="226">
        <v>0.35</v>
      </c>
      <c r="F55" s="233">
        <v>4921888076</v>
      </c>
      <c r="G55" s="234"/>
      <c r="H55" s="90"/>
      <c r="I55" s="90"/>
      <c r="J55" s="227"/>
      <c r="K55" s="281"/>
      <c r="L55" s="239" t="s">
        <v>516</v>
      </c>
    </row>
    <row r="56" spans="1:12" s="215" customFormat="1" ht="164.25" customHeight="1" x14ac:dyDescent="0.25">
      <c r="A56" s="228"/>
      <c r="B56" s="229">
        <v>29</v>
      </c>
      <c r="C56" s="229" t="s">
        <v>303</v>
      </c>
      <c r="D56" s="143" t="s">
        <v>305</v>
      </c>
      <c r="E56" s="226">
        <v>1</v>
      </c>
      <c r="F56" s="233">
        <v>14399555298</v>
      </c>
      <c r="G56" s="234">
        <v>10.53</v>
      </c>
      <c r="H56" s="90">
        <v>11</v>
      </c>
      <c r="I56" s="90">
        <v>2</v>
      </c>
      <c r="J56" s="241">
        <v>45590832314.546608</v>
      </c>
      <c r="K56" s="252" t="s">
        <v>240</v>
      </c>
      <c r="L56" s="239" t="s">
        <v>517</v>
      </c>
    </row>
    <row r="57" spans="1:12" s="215" customFormat="1" ht="118.5" customHeight="1" x14ac:dyDescent="0.25">
      <c r="A57" s="279"/>
      <c r="B57" s="269">
        <v>30</v>
      </c>
      <c r="C57" s="270" t="s">
        <v>315</v>
      </c>
      <c r="D57" s="143" t="s">
        <v>518</v>
      </c>
      <c r="E57" s="226">
        <v>0.9</v>
      </c>
      <c r="F57" s="233">
        <v>7673110954</v>
      </c>
      <c r="G57" s="90">
        <v>17.149999999999999</v>
      </c>
      <c r="H57" s="90">
        <v>2</v>
      </c>
      <c r="I57" s="90">
        <v>1</v>
      </c>
      <c r="J57" s="247">
        <v>29637157616.950993</v>
      </c>
      <c r="K57" s="275" t="s">
        <v>240</v>
      </c>
      <c r="L57" s="280" t="s">
        <v>519</v>
      </c>
    </row>
    <row r="58" spans="1:12" s="215" customFormat="1" ht="90.75" customHeight="1" x14ac:dyDescent="0.25">
      <c r="A58" s="279"/>
      <c r="B58" s="269"/>
      <c r="C58" s="270"/>
      <c r="D58" s="143" t="s">
        <v>317</v>
      </c>
      <c r="E58" s="226">
        <v>0.1</v>
      </c>
      <c r="F58" s="233">
        <v>9852402989</v>
      </c>
      <c r="G58" s="234">
        <v>23.76</v>
      </c>
      <c r="H58" s="90">
        <v>2</v>
      </c>
      <c r="I58" s="90">
        <v>2</v>
      </c>
      <c r="J58" s="227">
        <v>42189182498.665611</v>
      </c>
      <c r="K58" s="275"/>
      <c r="L58" s="280"/>
    </row>
    <row r="59" spans="1:12" s="215" customFormat="1" ht="81" customHeight="1" x14ac:dyDescent="0.25">
      <c r="A59" s="232"/>
      <c r="B59" s="269">
        <v>31</v>
      </c>
      <c r="C59" s="270" t="s">
        <v>323</v>
      </c>
      <c r="D59" s="143" t="s">
        <v>324</v>
      </c>
      <c r="E59" s="226">
        <v>0.5</v>
      </c>
      <c r="F59" s="233">
        <v>15725903065</v>
      </c>
      <c r="G59" s="234">
        <v>3.68</v>
      </c>
      <c r="H59" s="90">
        <v>11</v>
      </c>
      <c r="I59" s="90">
        <v>3</v>
      </c>
      <c r="J59" s="227">
        <v>35859904746.4636</v>
      </c>
      <c r="K59" s="275" t="s">
        <v>240</v>
      </c>
      <c r="L59" s="231"/>
    </row>
    <row r="60" spans="1:12" s="215" customFormat="1" ht="77.25" customHeight="1" x14ac:dyDescent="0.25">
      <c r="A60" s="232"/>
      <c r="B60" s="269"/>
      <c r="C60" s="270"/>
      <c r="D60" s="143" t="s">
        <v>325</v>
      </c>
      <c r="E60" s="226">
        <v>0.5</v>
      </c>
      <c r="F60" s="233">
        <v>3493344000</v>
      </c>
      <c r="G60" s="234">
        <v>8.01</v>
      </c>
      <c r="H60" s="90">
        <v>2</v>
      </c>
      <c r="I60" s="90">
        <v>0</v>
      </c>
      <c r="J60" s="227">
        <v>21729763.84</v>
      </c>
      <c r="K60" s="275"/>
      <c r="L60" s="231" t="s">
        <v>520</v>
      </c>
    </row>
    <row r="61" spans="1:12" s="215" customFormat="1" ht="42.75" customHeight="1" x14ac:dyDescent="0.25">
      <c r="A61" s="232"/>
      <c r="B61" s="88">
        <v>32</v>
      </c>
      <c r="C61" s="229" t="s">
        <v>328</v>
      </c>
      <c r="D61" s="143" t="s">
        <v>521</v>
      </c>
      <c r="E61" s="226">
        <v>1</v>
      </c>
      <c r="F61" s="233">
        <v>11045652353</v>
      </c>
      <c r="G61" s="234">
        <v>4.3099999999999996</v>
      </c>
      <c r="H61" s="90">
        <v>7</v>
      </c>
      <c r="I61" s="90">
        <v>0</v>
      </c>
      <c r="J61" s="227">
        <v>87650763627.294586</v>
      </c>
      <c r="K61" s="253" t="s">
        <v>240</v>
      </c>
      <c r="L61" s="231" t="s">
        <v>522</v>
      </c>
    </row>
    <row r="62" spans="1:12" s="215" customFormat="1" ht="170.25" customHeight="1" x14ac:dyDescent="0.25">
      <c r="A62" s="232"/>
      <c r="B62" s="269">
        <v>33</v>
      </c>
      <c r="C62" s="269" t="s">
        <v>332</v>
      </c>
      <c r="D62" s="143" t="s">
        <v>333</v>
      </c>
      <c r="E62" s="226">
        <v>0.45</v>
      </c>
      <c r="F62" s="233">
        <v>17173909672</v>
      </c>
      <c r="G62" s="234"/>
      <c r="H62" s="90"/>
      <c r="I62" s="90"/>
      <c r="J62" s="227"/>
      <c r="K62" s="276" t="s">
        <v>240</v>
      </c>
      <c r="L62" s="239" t="s">
        <v>523</v>
      </c>
    </row>
    <row r="63" spans="1:12" s="215" customFormat="1" ht="178.5" customHeight="1" x14ac:dyDescent="0.25">
      <c r="A63" s="232"/>
      <c r="B63" s="269"/>
      <c r="C63" s="269"/>
      <c r="D63" s="143" t="s">
        <v>334</v>
      </c>
      <c r="E63" s="226">
        <v>0.5</v>
      </c>
      <c r="F63" s="233"/>
      <c r="G63" s="234"/>
      <c r="H63" s="90"/>
      <c r="I63" s="90"/>
      <c r="J63" s="227"/>
      <c r="K63" s="277"/>
      <c r="L63" s="239" t="s">
        <v>524</v>
      </c>
    </row>
    <row r="64" spans="1:12" s="215" customFormat="1" ht="139.5" customHeight="1" x14ac:dyDescent="0.25">
      <c r="A64" s="232"/>
      <c r="B64" s="269"/>
      <c r="C64" s="269"/>
      <c r="D64" s="143" t="s">
        <v>335</v>
      </c>
      <c r="E64" s="226">
        <v>0.05</v>
      </c>
      <c r="F64" s="233">
        <v>4497738356</v>
      </c>
      <c r="G64" s="234"/>
      <c r="H64" s="90"/>
      <c r="I64" s="90"/>
      <c r="J64" s="227"/>
      <c r="K64" s="278"/>
      <c r="L64" s="239" t="s">
        <v>523</v>
      </c>
    </row>
    <row r="65" spans="1:12" s="215" customFormat="1" ht="24.95" customHeight="1" x14ac:dyDescent="0.25">
      <c r="A65" s="232"/>
      <c r="B65" s="269">
        <v>34</v>
      </c>
      <c r="C65" s="270" t="s">
        <v>343</v>
      </c>
      <c r="D65" s="143" t="s">
        <v>525</v>
      </c>
      <c r="E65" s="226">
        <v>0.75</v>
      </c>
      <c r="F65" s="233">
        <v>4419649794</v>
      </c>
      <c r="G65" s="234">
        <v>16.32</v>
      </c>
      <c r="H65" s="90">
        <v>1</v>
      </c>
      <c r="I65" s="90">
        <v>6</v>
      </c>
      <c r="J65" s="227">
        <v>18573338425.416</v>
      </c>
      <c r="K65" s="271" t="s">
        <v>240</v>
      </c>
      <c r="L65" s="231"/>
    </row>
    <row r="66" spans="1:12" s="215" customFormat="1" ht="99" customHeight="1" x14ac:dyDescent="0.25">
      <c r="A66" s="232"/>
      <c r="B66" s="269"/>
      <c r="C66" s="270"/>
      <c r="D66" s="143" t="s">
        <v>345</v>
      </c>
      <c r="E66" s="226">
        <v>0.25</v>
      </c>
      <c r="F66" s="233">
        <v>1415806442</v>
      </c>
      <c r="G66" s="234">
        <v>7.65</v>
      </c>
      <c r="H66" s="90">
        <v>1</v>
      </c>
      <c r="I66" s="90">
        <v>2</v>
      </c>
      <c r="J66" s="227">
        <v>85230398063.96199</v>
      </c>
      <c r="K66" s="272"/>
      <c r="L66" s="231" t="s">
        <v>526</v>
      </c>
    </row>
    <row r="67" spans="1:12" s="215" customFormat="1" ht="35.1" customHeight="1" x14ac:dyDescent="0.25">
      <c r="A67" s="225"/>
      <c r="B67" s="269">
        <v>35</v>
      </c>
      <c r="C67" s="269" t="s">
        <v>233</v>
      </c>
      <c r="D67" s="143" t="s">
        <v>235</v>
      </c>
      <c r="E67" s="226">
        <v>0.5</v>
      </c>
      <c r="F67" s="248">
        <v>19500329021.810001</v>
      </c>
      <c r="G67" s="90">
        <v>4.25</v>
      </c>
      <c r="H67" s="79">
        <v>2</v>
      </c>
      <c r="I67" s="90">
        <v>3</v>
      </c>
      <c r="J67" s="227">
        <v>118168766031.616</v>
      </c>
      <c r="K67" s="274" t="s">
        <v>105</v>
      </c>
      <c r="L67" s="268" t="s">
        <v>0</v>
      </c>
    </row>
    <row r="68" spans="1:12" s="215" customFormat="1" ht="35.1" customHeight="1" x14ac:dyDescent="0.25">
      <c r="A68" s="225"/>
      <c r="B68" s="269"/>
      <c r="C68" s="269"/>
      <c r="D68" s="143" t="s">
        <v>236</v>
      </c>
      <c r="E68" s="226">
        <v>0.5</v>
      </c>
      <c r="F68" s="233">
        <v>14421168854</v>
      </c>
      <c r="G68" s="90">
        <v>1.67</v>
      </c>
      <c r="H68" s="90">
        <v>2</v>
      </c>
      <c r="I68" s="90">
        <v>3</v>
      </c>
      <c r="J68" s="264">
        <v>60986869473.351997</v>
      </c>
      <c r="K68" s="274"/>
      <c r="L68" s="268"/>
    </row>
    <row r="69" spans="1:12" s="215" customFormat="1" ht="35.1" customHeight="1" x14ac:dyDescent="0.25">
      <c r="A69" s="225"/>
      <c r="B69" s="269">
        <v>36</v>
      </c>
      <c r="C69" s="270" t="s">
        <v>230</v>
      </c>
      <c r="D69" s="143" t="s">
        <v>243</v>
      </c>
      <c r="E69" s="226">
        <v>0.99</v>
      </c>
      <c r="F69" s="233">
        <v>4299465000</v>
      </c>
      <c r="G69" s="90">
        <v>45.38</v>
      </c>
      <c r="H69" s="90">
        <v>8</v>
      </c>
      <c r="I69" s="90">
        <v>1</v>
      </c>
      <c r="J69" s="235">
        <v>17370867618.920002</v>
      </c>
      <c r="K69" s="271" t="s">
        <v>240</v>
      </c>
      <c r="L69" s="273" t="s">
        <v>527</v>
      </c>
    </row>
    <row r="70" spans="1:12" s="215" customFormat="1" ht="77.25" customHeight="1" x14ac:dyDescent="0.25">
      <c r="A70" s="228"/>
      <c r="B70" s="269"/>
      <c r="C70" s="270"/>
      <c r="D70" s="160" t="s">
        <v>244</v>
      </c>
      <c r="E70" s="226">
        <v>0.01</v>
      </c>
      <c r="F70" s="233">
        <v>28418524100</v>
      </c>
      <c r="G70" s="90">
        <v>37.520000000000003</v>
      </c>
      <c r="H70" s="90">
        <v>8</v>
      </c>
      <c r="I70" s="90">
        <v>3</v>
      </c>
      <c r="J70" s="235">
        <v>78821428141.92038</v>
      </c>
      <c r="K70" s="272"/>
      <c r="L70" s="273"/>
    </row>
    <row r="71" spans="1:12" s="215" customFormat="1" ht="111" customHeight="1" x14ac:dyDescent="0.25">
      <c r="A71" s="236"/>
      <c r="B71" s="88">
        <v>37</v>
      </c>
      <c r="C71" s="229" t="s">
        <v>231</v>
      </c>
      <c r="D71" s="229" t="s">
        <v>528</v>
      </c>
      <c r="E71" s="226">
        <v>1</v>
      </c>
      <c r="F71" s="249">
        <v>8261603881</v>
      </c>
      <c r="G71" s="90">
        <v>5.86</v>
      </c>
      <c r="H71" s="90">
        <v>3</v>
      </c>
      <c r="I71" s="90">
        <v>1</v>
      </c>
      <c r="J71" s="235">
        <v>255740196922.69727</v>
      </c>
      <c r="K71" s="246" t="s">
        <v>240</v>
      </c>
      <c r="L71" s="231" t="s">
        <v>527</v>
      </c>
    </row>
    <row r="72" spans="1:12" s="215" customFormat="1" ht="81" customHeight="1" x14ac:dyDescent="0.25">
      <c r="A72" s="228"/>
      <c r="B72" s="229">
        <v>38</v>
      </c>
      <c r="C72" s="229" t="s">
        <v>232</v>
      </c>
      <c r="D72" s="229" t="s">
        <v>528</v>
      </c>
      <c r="E72" s="226">
        <v>1</v>
      </c>
      <c r="F72" s="233">
        <v>21192295518</v>
      </c>
      <c r="G72" s="234">
        <v>11.05</v>
      </c>
      <c r="H72" s="90">
        <v>5</v>
      </c>
      <c r="I72" s="90">
        <v>6</v>
      </c>
      <c r="J72" s="227">
        <v>80440957404.279999</v>
      </c>
      <c r="K72" s="246" t="s">
        <v>240</v>
      </c>
      <c r="L72" s="231" t="s">
        <v>529</v>
      </c>
    </row>
    <row r="73" spans="1:12" x14ac:dyDescent="0.25">
      <c r="A73" s="70"/>
      <c r="B73" s="70"/>
      <c r="C73" s="9"/>
      <c r="D73" s="10"/>
      <c r="E73" s="11"/>
      <c r="F73" s="12"/>
      <c r="G73" s="13"/>
      <c r="H73" s="13"/>
      <c r="I73" s="13"/>
      <c r="J73" s="14"/>
      <c r="K73" s="14"/>
      <c r="L73" s="10"/>
    </row>
    <row r="74" spans="1:12" ht="33" customHeight="1" x14ac:dyDescent="0.25">
      <c r="A74" s="70"/>
      <c r="B74" s="70"/>
      <c r="C74" s="70"/>
      <c r="D74" s="70"/>
      <c r="E74" s="71"/>
      <c r="F74" s="3"/>
      <c r="G74" s="72"/>
      <c r="H74" s="72"/>
      <c r="I74" s="72"/>
      <c r="J74" s="4"/>
      <c r="K74" s="4"/>
      <c r="L74" s="70"/>
    </row>
    <row r="75" spans="1:12" x14ac:dyDescent="0.25">
      <c r="A75" s="70"/>
      <c r="B75" s="9" t="s">
        <v>15</v>
      </c>
      <c r="C75" s="70"/>
      <c r="D75" s="70"/>
      <c r="E75" s="71"/>
      <c r="F75" s="3"/>
      <c r="G75" s="72"/>
      <c r="H75" s="72"/>
      <c r="I75" s="72"/>
      <c r="J75" s="4"/>
      <c r="K75" s="4"/>
      <c r="L75" s="70"/>
    </row>
    <row r="76" spans="1:12" ht="59.25" customHeight="1" x14ac:dyDescent="0.25">
      <c r="A76" s="70"/>
      <c r="B76" s="9"/>
      <c r="C76" s="70"/>
      <c r="D76" s="70"/>
      <c r="E76" s="71"/>
      <c r="F76" s="3"/>
      <c r="G76" s="72"/>
      <c r="H76" s="72"/>
      <c r="I76" s="72"/>
      <c r="J76" s="4"/>
      <c r="K76" s="4"/>
      <c r="L76" s="70"/>
    </row>
    <row r="77" spans="1:12" x14ac:dyDescent="0.25">
      <c r="A77" s="70"/>
      <c r="B77" s="9" t="s">
        <v>531</v>
      </c>
      <c r="C77" s="70"/>
      <c r="D77" s="70"/>
      <c r="E77" s="71"/>
      <c r="F77" s="3"/>
      <c r="G77" s="72"/>
      <c r="H77" s="72"/>
      <c r="I77" s="72"/>
      <c r="J77" s="4"/>
      <c r="K77" s="4"/>
      <c r="L77" s="70"/>
    </row>
    <row r="78" spans="1:12" x14ac:dyDescent="0.25">
      <c r="B78" s="73" t="s">
        <v>109</v>
      </c>
    </row>
  </sheetData>
  <mergeCells count="91">
    <mergeCell ref="B28:B30"/>
    <mergeCell ref="C28:C30"/>
    <mergeCell ref="K28:K30"/>
    <mergeCell ref="L28:L30"/>
    <mergeCell ref="B1:L1"/>
    <mergeCell ref="B2:L2"/>
    <mergeCell ref="B4:L4"/>
    <mergeCell ref="B25:B27"/>
    <mergeCell ref="C25:C27"/>
    <mergeCell ref="K25:K27"/>
    <mergeCell ref="L25:L27"/>
    <mergeCell ref="B7:B8"/>
    <mergeCell ref="C7:C8"/>
    <mergeCell ref="K7:K8"/>
    <mergeCell ref="L7:L8"/>
    <mergeCell ref="B9:B11"/>
    <mergeCell ref="C9:C11"/>
    <mergeCell ref="K9:K11"/>
    <mergeCell ref="L9:L11"/>
    <mergeCell ref="A12:A13"/>
    <mergeCell ref="B12:B13"/>
    <mergeCell ref="C12:C13"/>
    <mergeCell ref="K12:K13"/>
    <mergeCell ref="L12:L13"/>
    <mergeCell ref="A15:A17"/>
    <mergeCell ref="B15:B17"/>
    <mergeCell ref="C15:C17"/>
    <mergeCell ref="K15:K17"/>
    <mergeCell ref="L15:L17"/>
    <mergeCell ref="B19:B20"/>
    <mergeCell ref="C19:C20"/>
    <mergeCell ref="K19:K20"/>
    <mergeCell ref="L19:L20"/>
    <mergeCell ref="A21:A22"/>
    <mergeCell ref="B21:B22"/>
    <mergeCell ref="C21:C22"/>
    <mergeCell ref="K21:K22"/>
    <mergeCell ref="L21:L22"/>
    <mergeCell ref="B34:B35"/>
    <mergeCell ref="C34:C35"/>
    <mergeCell ref="K34:K35"/>
    <mergeCell ref="L34:L35"/>
    <mergeCell ref="B36:B37"/>
    <mergeCell ref="C36:C37"/>
    <mergeCell ref="K36:K37"/>
    <mergeCell ref="L36:L37"/>
    <mergeCell ref="B39:B40"/>
    <mergeCell ref="C39:C40"/>
    <mergeCell ref="K39:K40"/>
    <mergeCell ref="L39:L40"/>
    <mergeCell ref="B42:B43"/>
    <mergeCell ref="C42:C43"/>
    <mergeCell ref="K42:K43"/>
    <mergeCell ref="B45:B46"/>
    <mergeCell ref="C45:C46"/>
    <mergeCell ref="K45:K46"/>
    <mergeCell ref="L45:L46"/>
    <mergeCell ref="B49:B50"/>
    <mergeCell ref="C49:C50"/>
    <mergeCell ref="K49:K50"/>
    <mergeCell ref="L49:L50"/>
    <mergeCell ref="B51:B52"/>
    <mergeCell ref="C51:C52"/>
    <mergeCell ref="K51:K52"/>
    <mergeCell ref="L51:L52"/>
    <mergeCell ref="A53:A55"/>
    <mergeCell ref="B53:B55"/>
    <mergeCell ref="C53:C55"/>
    <mergeCell ref="K53:K55"/>
    <mergeCell ref="A57:A58"/>
    <mergeCell ref="B57:B58"/>
    <mergeCell ref="C57:C58"/>
    <mergeCell ref="K57:K58"/>
    <mergeCell ref="L57:L58"/>
    <mergeCell ref="B59:B60"/>
    <mergeCell ref="C59:C60"/>
    <mergeCell ref="K59:K60"/>
    <mergeCell ref="B62:B64"/>
    <mergeCell ref="C62:C64"/>
    <mergeCell ref="K62:K64"/>
    <mergeCell ref="B65:B66"/>
    <mergeCell ref="C65:C66"/>
    <mergeCell ref="B67:B68"/>
    <mergeCell ref="C67:C68"/>
    <mergeCell ref="K67:K68"/>
    <mergeCell ref="K65:K66"/>
    <mergeCell ref="L67:L68"/>
    <mergeCell ref="B69:B70"/>
    <mergeCell ref="C69:C70"/>
    <mergeCell ref="K69:K70"/>
    <mergeCell ref="L69:L70"/>
  </mergeCells>
  <pageMargins left="0.31496062992125984" right="0.31496062992125984" top="0.55118110236220474" bottom="0.35433070866141736" header="0.31496062992125984" footer="0.31496062992125984"/>
  <pageSetup paperSize="9" scale="62" fitToHeight="0" orientation="landscape" r:id="rId1"/>
  <rowBreaks count="4" manualBreakCount="4">
    <brk id="35" max="16383" man="1"/>
    <brk id="52" max="16383" man="1"/>
    <brk id="58" max="16383" man="1"/>
    <brk id="64" max="16383" man="1"/>
  </rowBreaks>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41"/>
  <sheetViews>
    <sheetView view="pageBreakPreview" topLeftCell="A7" zoomScale="60" zoomScaleNormal="70" workbookViewId="0">
      <selection activeCell="B34" sqref="B34:D34"/>
    </sheetView>
  </sheetViews>
  <sheetFormatPr baseColWidth="10" defaultRowHeight="15" x14ac:dyDescent="0.25"/>
  <cols>
    <col min="1" max="1" width="7.5703125" style="20" customWidth="1"/>
    <col min="2" max="2" width="25.5703125" style="22" customWidth="1"/>
    <col min="3" max="3" width="30" style="22" customWidth="1"/>
    <col min="4" max="4" width="18.7109375" style="20" customWidth="1"/>
    <col min="5" max="5" width="15.5703125" style="20" customWidth="1"/>
    <col min="6" max="6" width="25.140625" style="20" customWidth="1"/>
    <col min="7" max="7" width="25.5703125" style="20" customWidth="1"/>
    <col min="8" max="8" width="17.5703125" style="20" customWidth="1"/>
    <col min="9" max="9" width="50.28515625" style="20" customWidth="1"/>
    <col min="10" max="10" width="11.42578125" style="20"/>
    <col min="11" max="11" width="12.28515625" style="20" bestFit="1" customWidth="1"/>
    <col min="12" max="12" width="11.42578125" style="20"/>
    <col min="13" max="13" width="10.85546875" style="20" bestFit="1" customWidth="1"/>
    <col min="14" max="14" width="6.28515625" style="20" customWidth="1"/>
    <col min="15" max="16384" width="11.42578125" style="20"/>
  </cols>
  <sheetData>
    <row r="2" spans="2:9" ht="23.25" x14ac:dyDescent="0.25">
      <c r="B2" s="293" t="s">
        <v>26</v>
      </c>
      <c r="C2" s="293"/>
      <c r="D2" s="293"/>
      <c r="E2" s="293"/>
      <c r="F2" s="293"/>
      <c r="G2" s="293"/>
      <c r="H2" s="293"/>
      <c r="I2" s="293"/>
    </row>
    <row r="3" spans="2:9" ht="23.25" x14ac:dyDescent="0.25">
      <c r="B3" s="293" t="s">
        <v>37</v>
      </c>
      <c r="C3" s="293"/>
      <c r="D3" s="293"/>
      <c r="E3" s="293"/>
      <c r="F3" s="293"/>
      <c r="G3" s="293"/>
      <c r="H3" s="293"/>
      <c r="I3" s="293"/>
    </row>
    <row r="4" spans="2:9" ht="23.25" x14ac:dyDescent="0.25">
      <c r="B4" s="293" t="s">
        <v>27</v>
      </c>
      <c r="C4" s="293"/>
      <c r="D4" s="293"/>
      <c r="E4" s="293"/>
      <c r="F4" s="293"/>
      <c r="G4" s="293"/>
      <c r="H4" s="293"/>
      <c r="I4" s="293"/>
    </row>
    <row r="5" spans="2:9" ht="15.75" thickBot="1" x14ac:dyDescent="0.3"/>
    <row r="6" spans="2:9" ht="90" customHeight="1" x14ac:dyDescent="0.25">
      <c r="B6" s="63" t="s">
        <v>180</v>
      </c>
      <c r="C6" s="124" t="s">
        <v>181</v>
      </c>
      <c r="D6" s="66" t="s">
        <v>50</v>
      </c>
      <c r="E6" s="294" t="s">
        <v>52</v>
      </c>
      <c r="F6" s="295"/>
      <c r="G6" s="45" t="s">
        <v>0</v>
      </c>
      <c r="H6" s="108"/>
      <c r="I6" s="108"/>
    </row>
    <row r="7" spans="2:9" ht="34.5" customHeight="1" x14ac:dyDescent="0.25">
      <c r="B7" s="64"/>
      <c r="C7" s="67" t="s">
        <v>182</v>
      </c>
      <c r="D7" s="68">
        <v>0.67</v>
      </c>
      <c r="E7" s="296" t="s">
        <v>53</v>
      </c>
      <c r="F7" s="297"/>
      <c r="G7" s="300" t="s">
        <v>1</v>
      </c>
      <c r="H7" s="33"/>
      <c r="I7" s="34"/>
    </row>
    <row r="8" spans="2:9" ht="58.5" customHeight="1" x14ac:dyDescent="0.25">
      <c r="B8" s="64"/>
      <c r="C8" s="67" t="s">
        <v>183</v>
      </c>
      <c r="D8" s="68">
        <v>0.33</v>
      </c>
      <c r="E8" s="298"/>
      <c r="F8" s="299"/>
      <c r="G8" s="301"/>
      <c r="H8" s="35"/>
      <c r="I8" s="34"/>
    </row>
    <row r="9" spans="2:9" ht="39.75" customHeight="1" thickBot="1" x14ac:dyDescent="0.3">
      <c r="B9" s="65"/>
      <c r="C9" s="69"/>
      <c r="D9" s="125"/>
      <c r="E9" s="303" t="s">
        <v>51</v>
      </c>
      <c r="F9" s="304"/>
      <c r="G9" s="302"/>
      <c r="H9" s="35"/>
      <c r="I9" s="34"/>
    </row>
    <row r="11" spans="2:9" x14ac:dyDescent="0.25">
      <c r="B11" s="21" t="s">
        <v>28</v>
      </c>
      <c r="C11" s="32" t="s">
        <v>29</v>
      </c>
      <c r="D11" s="32" t="s">
        <v>18</v>
      </c>
      <c r="E11" s="32" t="s">
        <v>0</v>
      </c>
    </row>
    <row r="12" spans="2:9" x14ac:dyDescent="0.25">
      <c r="B12" s="36" t="s">
        <v>30</v>
      </c>
      <c r="C12" s="37">
        <v>5437884572</v>
      </c>
      <c r="D12" s="38">
        <f>+C12/828116</f>
        <v>6566.5734897043412</v>
      </c>
      <c r="E12" s="38"/>
    </row>
    <row r="13" spans="2:9" x14ac:dyDescent="0.25">
      <c r="B13" s="36" t="s">
        <v>38</v>
      </c>
      <c r="C13" s="37">
        <f>+C12*0.75</f>
        <v>4078413429</v>
      </c>
      <c r="D13" s="38">
        <f>+C13/828116</f>
        <v>4924.9301172782561</v>
      </c>
      <c r="E13" s="126" t="s">
        <v>0</v>
      </c>
    </row>
    <row r="14" spans="2:9" x14ac:dyDescent="0.25">
      <c r="B14" s="36" t="s">
        <v>39</v>
      </c>
      <c r="C14" s="37">
        <f>+C12*1.2</f>
        <v>6525461486.3999996</v>
      </c>
      <c r="D14" s="38">
        <f>+C14/828116</f>
        <v>7879.8881876452087</v>
      </c>
      <c r="E14" s="38"/>
    </row>
    <row r="15" spans="2:9" x14ac:dyDescent="0.25">
      <c r="B15" s="36" t="s">
        <v>40</v>
      </c>
      <c r="C15" s="37">
        <f>+C12*1.5</f>
        <v>8156826858</v>
      </c>
      <c r="D15" s="38">
        <f>+C15/828116</f>
        <v>9849.8602345565123</v>
      </c>
      <c r="E15" s="38"/>
    </row>
    <row r="17" spans="1:14" x14ac:dyDescent="0.25">
      <c r="B17" s="23" t="s">
        <v>31</v>
      </c>
      <c r="C17" s="23"/>
      <c r="D17" s="23"/>
    </row>
    <row r="18" spans="1:14" ht="30" x14ac:dyDescent="0.25">
      <c r="B18" s="32" t="s">
        <v>32</v>
      </c>
      <c r="C18" s="21" t="s">
        <v>33</v>
      </c>
      <c r="D18" s="32" t="s">
        <v>34</v>
      </c>
      <c r="E18" s="21" t="s">
        <v>54</v>
      </c>
      <c r="F18" s="21" t="s">
        <v>41</v>
      </c>
      <c r="G18" s="21" t="s">
        <v>42</v>
      </c>
      <c r="H18" s="21" t="s">
        <v>43</v>
      </c>
      <c r="I18" s="32" t="s">
        <v>17</v>
      </c>
    </row>
    <row r="19" spans="1:14" ht="65.099999999999994" customHeight="1" x14ac:dyDescent="0.25">
      <c r="A19" s="7">
        <v>1</v>
      </c>
      <c r="B19" s="94" t="s">
        <v>184</v>
      </c>
      <c r="C19" s="94" t="s">
        <v>183</v>
      </c>
      <c r="D19" s="94">
        <v>5</v>
      </c>
      <c r="E19" s="94" t="s">
        <v>0</v>
      </c>
      <c r="F19" s="127">
        <v>4188.0200000000004</v>
      </c>
      <c r="G19" s="97">
        <f>+F19*828116</f>
        <v>3468166370.3200002</v>
      </c>
      <c r="H19" s="128" t="s">
        <v>185</v>
      </c>
      <c r="I19" s="129" t="s">
        <v>0</v>
      </c>
    </row>
    <row r="20" spans="1:14" ht="93" customHeight="1" x14ac:dyDescent="0.25">
      <c r="A20" s="7">
        <v>2</v>
      </c>
      <c r="B20" s="94" t="s">
        <v>186</v>
      </c>
      <c r="C20" s="94" t="s">
        <v>183</v>
      </c>
      <c r="D20" s="94">
        <v>110</v>
      </c>
      <c r="E20" s="94" t="s">
        <v>0</v>
      </c>
      <c r="F20" s="127">
        <v>2376.54</v>
      </c>
      <c r="G20" s="97">
        <f t="shared" ref="G20" si="0">+F20*828116</f>
        <v>1968050798.6399999</v>
      </c>
      <c r="H20" s="128" t="s">
        <v>187</v>
      </c>
      <c r="I20" s="129" t="s">
        <v>0</v>
      </c>
    </row>
    <row r="21" spans="1:14" ht="65.099999999999994" customHeight="1" x14ac:dyDescent="0.25">
      <c r="A21" s="32">
        <v>5</v>
      </c>
      <c r="B21" s="2"/>
      <c r="C21" s="2"/>
      <c r="D21" s="2"/>
      <c r="E21" s="2"/>
      <c r="F21" s="130"/>
      <c r="G21" s="131"/>
      <c r="H21" s="24"/>
      <c r="I21" s="132"/>
    </row>
    <row r="22" spans="1:14" ht="65.099999999999994" customHeight="1" x14ac:dyDescent="0.25">
      <c r="A22" s="32">
        <v>6</v>
      </c>
      <c r="B22" s="2"/>
      <c r="C22" s="2"/>
      <c r="D22" s="2"/>
      <c r="E22" s="2"/>
      <c r="F22" s="130"/>
      <c r="G22" s="131"/>
      <c r="H22" s="24"/>
      <c r="I22" s="132"/>
    </row>
    <row r="23" spans="1:14" x14ac:dyDescent="0.25">
      <c r="B23" s="2"/>
      <c r="D23" s="2"/>
      <c r="E23" s="32" t="s">
        <v>35</v>
      </c>
      <c r="F23" s="25">
        <f>SUM(F19:F22)</f>
        <v>6564.56</v>
      </c>
      <c r="G23" s="40">
        <f>SUM(G19:G22)</f>
        <v>5436217168.96</v>
      </c>
      <c r="H23" s="26"/>
    </row>
    <row r="24" spans="1:14" x14ac:dyDescent="0.25">
      <c r="B24" s="34"/>
      <c r="D24" s="34"/>
      <c r="E24" s="42" t="s">
        <v>18</v>
      </c>
      <c r="F24" s="43"/>
      <c r="G24" s="44">
        <f>+G23/828116</f>
        <v>6564.56</v>
      </c>
      <c r="H24" s="41"/>
    </row>
    <row r="26" spans="1:14" ht="43.5" customHeight="1" x14ac:dyDescent="0.25">
      <c r="B26" s="305" t="s">
        <v>44</v>
      </c>
      <c r="C26" s="305"/>
      <c r="D26" s="305"/>
      <c r="E26" s="305"/>
      <c r="F26" s="305"/>
      <c r="G26" s="305"/>
      <c r="H26" s="306"/>
      <c r="I26" s="306"/>
      <c r="J26" s="306"/>
      <c r="K26" s="306"/>
      <c r="L26" s="306"/>
      <c r="M26" s="306"/>
      <c r="N26" s="306"/>
    </row>
    <row r="27" spans="1:14" ht="31.5" customHeight="1" x14ac:dyDescent="0.25">
      <c r="B27" s="307" t="s">
        <v>45</v>
      </c>
      <c r="C27" s="307"/>
      <c r="D27" s="307"/>
      <c r="E27" s="307"/>
      <c r="F27" s="307"/>
      <c r="G27" s="307"/>
      <c r="H27" s="308"/>
      <c r="I27" s="308"/>
      <c r="J27" s="308"/>
      <c r="K27" s="308"/>
      <c r="L27" s="308"/>
      <c r="M27" s="308"/>
      <c r="N27" s="308"/>
    </row>
    <row r="28" spans="1:14" ht="31.5" customHeight="1" x14ac:dyDescent="0.25">
      <c r="B28" s="307" t="s">
        <v>46</v>
      </c>
      <c r="C28" s="307"/>
      <c r="D28" s="307"/>
      <c r="E28" s="307"/>
      <c r="F28" s="307"/>
      <c r="G28" s="307"/>
      <c r="H28" s="309"/>
      <c r="I28" s="309"/>
      <c r="J28" s="309"/>
      <c r="K28" s="309"/>
      <c r="L28" s="309"/>
      <c r="M28" s="309"/>
      <c r="N28" s="309"/>
    </row>
    <row r="29" spans="1:14" ht="34.5" customHeight="1" x14ac:dyDescent="0.25">
      <c r="B29" s="307" t="s">
        <v>47</v>
      </c>
      <c r="C29" s="310"/>
      <c r="D29" s="310"/>
      <c r="E29" s="310"/>
      <c r="F29" s="310"/>
      <c r="G29" s="310"/>
      <c r="H29" s="309"/>
      <c r="I29" s="309"/>
      <c r="J29" s="309"/>
      <c r="K29" s="309"/>
      <c r="L29" s="309"/>
      <c r="M29" s="309"/>
      <c r="N29" s="309"/>
    </row>
    <row r="30" spans="1:14" ht="34.5" customHeight="1" x14ac:dyDescent="0.25">
      <c r="B30" s="307" t="s">
        <v>48</v>
      </c>
      <c r="C30" s="310"/>
      <c r="D30" s="310"/>
      <c r="E30" s="310"/>
      <c r="F30" s="310"/>
      <c r="G30" s="310"/>
      <c r="H30" s="309"/>
      <c r="I30" s="309"/>
      <c r="J30" s="309"/>
      <c r="K30" s="309"/>
      <c r="L30" s="309"/>
      <c r="M30" s="309"/>
      <c r="N30" s="309"/>
    </row>
    <row r="31" spans="1:14" x14ac:dyDescent="0.25">
      <c r="B31" s="27"/>
      <c r="G31" s="28"/>
    </row>
    <row r="34" spans="2:10" x14ac:dyDescent="0.25">
      <c r="B34" s="311" t="s">
        <v>49</v>
      </c>
      <c r="C34" s="311"/>
      <c r="D34" s="311"/>
    </row>
    <row r="35" spans="2:10" x14ac:dyDescent="0.25">
      <c r="B35" s="20"/>
    </row>
    <row r="40" spans="2:10" x14ac:dyDescent="0.25">
      <c r="H40" s="29"/>
      <c r="I40" s="30"/>
      <c r="J40" s="31"/>
    </row>
    <row r="41" spans="2:10" x14ac:dyDescent="0.25">
      <c r="H41" s="29"/>
      <c r="I41" s="30"/>
      <c r="J41" s="31"/>
    </row>
  </sheetData>
  <mergeCells count="18">
    <mergeCell ref="B29:G29"/>
    <mergeCell ref="H29:N29"/>
    <mergeCell ref="B30:G30"/>
    <mergeCell ref="H30:N30"/>
    <mergeCell ref="B34:D34"/>
    <mergeCell ref="B26:G26"/>
    <mergeCell ref="H26:N26"/>
    <mergeCell ref="B27:G27"/>
    <mergeCell ref="H27:N27"/>
    <mergeCell ref="B28:G28"/>
    <mergeCell ref="H28:N28"/>
    <mergeCell ref="B2:I2"/>
    <mergeCell ref="B3:I3"/>
    <mergeCell ref="B4:I4"/>
    <mergeCell ref="E6:F6"/>
    <mergeCell ref="E7:F8"/>
    <mergeCell ref="G7:G9"/>
    <mergeCell ref="E9:F9"/>
  </mergeCells>
  <pageMargins left="0.7" right="0.7" top="0.75" bottom="0.75" header="0.3" footer="0.3"/>
  <pageSetup scale="41" orientation="portrait" r:id="rId1"/>
  <colBreaks count="1" manualBreakCount="1">
    <brk id="9"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43"/>
  <sheetViews>
    <sheetView tabSelected="1" view="pageBreakPreview" topLeftCell="A10" zoomScale="60" zoomScaleNormal="80" workbookViewId="0">
      <selection activeCell="F39" sqref="F39"/>
    </sheetView>
  </sheetViews>
  <sheetFormatPr baseColWidth="10" defaultRowHeight="15" x14ac:dyDescent="0.25"/>
  <cols>
    <col min="1" max="1" width="5.140625" style="20" customWidth="1"/>
    <col min="2" max="2" width="26.5703125" style="22" customWidth="1"/>
    <col min="3" max="3" width="30" style="22" customWidth="1"/>
    <col min="4" max="4" width="18.7109375" style="20" customWidth="1"/>
    <col min="5" max="5" width="15.5703125" style="20" customWidth="1"/>
    <col min="6" max="6" width="25.140625" style="20" customWidth="1"/>
    <col min="7" max="7" width="34" style="20" bestFit="1" customWidth="1"/>
    <col min="8" max="8" width="17.5703125" style="20" customWidth="1"/>
    <col min="9" max="9" width="50.28515625" style="20" customWidth="1"/>
    <col min="10" max="10" width="11.42578125" style="20"/>
    <col min="11" max="11" width="12.28515625" style="20" bestFit="1" customWidth="1"/>
    <col min="12" max="12" width="11.42578125" style="20"/>
    <col min="13" max="13" width="10.85546875" style="20" bestFit="1" customWidth="1"/>
    <col min="14" max="14" width="6.28515625" style="20" customWidth="1"/>
    <col min="15" max="16384" width="11.42578125" style="20"/>
  </cols>
  <sheetData>
    <row r="2" spans="2:9" ht="23.25" x14ac:dyDescent="0.25">
      <c r="B2" s="293" t="s">
        <v>26</v>
      </c>
      <c r="C2" s="293"/>
      <c r="D2" s="293"/>
      <c r="E2" s="293"/>
      <c r="F2" s="293"/>
      <c r="G2" s="293"/>
      <c r="H2" s="293"/>
      <c r="I2" s="293"/>
    </row>
    <row r="3" spans="2:9" ht="23.25" x14ac:dyDescent="0.25">
      <c r="B3" s="293" t="s">
        <v>37</v>
      </c>
      <c r="C3" s="293"/>
      <c r="D3" s="293"/>
      <c r="E3" s="293"/>
      <c r="F3" s="293"/>
      <c r="G3" s="293"/>
      <c r="H3" s="293"/>
      <c r="I3" s="293"/>
    </row>
    <row r="4" spans="2:9" ht="23.25" x14ac:dyDescent="0.25">
      <c r="B4" s="293" t="s">
        <v>27</v>
      </c>
      <c r="C4" s="293"/>
      <c r="D4" s="293"/>
      <c r="E4" s="293"/>
      <c r="F4" s="293"/>
      <c r="G4" s="293"/>
      <c r="H4" s="293"/>
      <c r="I4" s="293"/>
    </row>
    <row r="5" spans="2:9" ht="15.75" thickBot="1" x14ac:dyDescent="0.3"/>
    <row r="6" spans="2:9" ht="90" customHeight="1" x14ac:dyDescent="0.25">
      <c r="B6" s="63" t="s">
        <v>188</v>
      </c>
      <c r="C6" s="124" t="s">
        <v>175</v>
      </c>
      <c r="D6" s="66" t="s">
        <v>50</v>
      </c>
      <c r="E6" s="294" t="s">
        <v>52</v>
      </c>
      <c r="F6" s="295"/>
      <c r="G6" s="45" t="s">
        <v>0</v>
      </c>
      <c r="H6" s="108"/>
      <c r="I6" s="108"/>
    </row>
    <row r="7" spans="2:9" ht="34.5" customHeight="1" x14ac:dyDescent="0.25">
      <c r="B7" s="64"/>
      <c r="C7" s="67" t="s">
        <v>189</v>
      </c>
      <c r="D7" s="68">
        <v>0.3</v>
      </c>
      <c r="E7" s="296" t="s">
        <v>53</v>
      </c>
      <c r="F7" s="297"/>
      <c r="G7" s="300" t="s">
        <v>1</v>
      </c>
      <c r="H7" s="33"/>
      <c r="I7" s="34"/>
    </row>
    <row r="8" spans="2:9" ht="58.5" customHeight="1" x14ac:dyDescent="0.25">
      <c r="B8" s="64"/>
      <c r="C8" s="67" t="s">
        <v>190</v>
      </c>
      <c r="D8" s="68">
        <v>0.5</v>
      </c>
      <c r="E8" s="298"/>
      <c r="F8" s="299"/>
      <c r="G8" s="301"/>
      <c r="H8" s="35"/>
      <c r="I8" s="34"/>
    </row>
    <row r="9" spans="2:9" ht="39.75" customHeight="1" thickBot="1" x14ac:dyDescent="0.3">
      <c r="B9" s="65"/>
      <c r="C9" s="67" t="s">
        <v>191</v>
      </c>
      <c r="D9" s="68">
        <v>0.2</v>
      </c>
      <c r="E9" s="303" t="s">
        <v>51</v>
      </c>
      <c r="F9" s="304"/>
      <c r="G9" s="302"/>
      <c r="H9" s="35"/>
      <c r="I9" s="34"/>
    </row>
    <row r="11" spans="2:9" x14ac:dyDescent="0.25">
      <c r="B11" s="21" t="s">
        <v>28</v>
      </c>
      <c r="C11" s="32" t="s">
        <v>29</v>
      </c>
      <c r="D11" s="32" t="s">
        <v>18</v>
      </c>
      <c r="E11" s="32" t="s">
        <v>0</v>
      </c>
    </row>
    <row r="12" spans="2:9" x14ac:dyDescent="0.25">
      <c r="B12" s="36" t="s">
        <v>30</v>
      </c>
      <c r="C12" s="37">
        <v>5437884572</v>
      </c>
      <c r="D12" s="38">
        <f>+C12/828116</f>
        <v>6566.5734897043412</v>
      </c>
      <c r="E12" s="38"/>
    </row>
    <row r="13" spans="2:9" x14ac:dyDescent="0.25">
      <c r="B13" s="36" t="s">
        <v>38</v>
      </c>
      <c r="C13" s="37">
        <f>+C12*0.75</f>
        <v>4078413429</v>
      </c>
      <c r="D13" s="38">
        <f>+C13/828116</f>
        <v>4924.9301172782561</v>
      </c>
      <c r="E13" s="38"/>
    </row>
    <row r="14" spans="2:9" x14ac:dyDescent="0.25">
      <c r="B14" s="36" t="s">
        <v>39</v>
      </c>
      <c r="C14" s="37">
        <f>+C12*1.2</f>
        <v>6525461486.3999996</v>
      </c>
      <c r="D14" s="38">
        <f>+C14/828116</f>
        <v>7879.8881876452087</v>
      </c>
      <c r="E14" s="126" t="s">
        <v>192</v>
      </c>
    </row>
    <row r="15" spans="2:9" x14ac:dyDescent="0.25">
      <c r="B15" s="36" t="s">
        <v>40</v>
      </c>
      <c r="C15" s="37">
        <f>+C12*1.5</f>
        <v>8156826858</v>
      </c>
      <c r="D15" s="38">
        <f>+C15/828116</f>
        <v>9849.8602345565123</v>
      </c>
      <c r="E15" s="38"/>
    </row>
    <row r="17" spans="1:14" x14ac:dyDescent="0.25">
      <c r="B17" s="23" t="s">
        <v>31</v>
      </c>
      <c r="C17" s="23"/>
      <c r="D17" s="23"/>
    </row>
    <row r="18" spans="1:14" ht="30" x14ac:dyDescent="0.25">
      <c r="B18" s="32" t="s">
        <v>32</v>
      </c>
      <c r="C18" s="21" t="s">
        <v>33</v>
      </c>
      <c r="D18" s="32" t="s">
        <v>34</v>
      </c>
      <c r="E18" s="21" t="s">
        <v>54</v>
      </c>
      <c r="F18" s="21" t="s">
        <v>41</v>
      </c>
      <c r="G18" s="21" t="s">
        <v>42</v>
      </c>
      <c r="H18" s="21" t="s">
        <v>43</v>
      </c>
      <c r="I18" s="32" t="s">
        <v>17</v>
      </c>
    </row>
    <row r="19" spans="1:14" ht="65.099999999999994" customHeight="1" x14ac:dyDescent="0.25">
      <c r="A19" s="32">
        <v>1</v>
      </c>
      <c r="B19" s="94">
        <v>23549280</v>
      </c>
      <c r="C19" s="93" t="s">
        <v>193</v>
      </c>
      <c r="D19" s="94">
        <v>15</v>
      </c>
      <c r="E19" s="94" t="s">
        <v>0</v>
      </c>
      <c r="F19" s="133">
        <v>15443.13</v>
      </c>
      <c r="G19" s="97">
        <f>+F19*828116</f>
        <v>12788703043.08</v>
      </c>
      <c r="H19" s="98" t="s">
        <v>194</v>
      </c>
      <c r="I19" s="99" t="s">
        <v>0</v>
      </c>
    </row>
    <row r="20" spans="1:14" ht="65.099999999999994" customHeight="1" x14ac:dyDescent="0.25">
      <c r="A20" s="32">
        <v>2</v>
      </c>
      <c r="B20" s="94" t="s">
        <v>195</v>
      </c>
      <c r="C20" s="93" t="s">
        <v>193</v>
      </c>
      <c r="D20" s="94">
        <v>18</v>
      </c>
      <c r="E20" s="94" t="s">
        <v>0</v>
      </c>
      <c r="F20" s="133">
        <v>25302.86</v>
      </c>
      <c r="G20" s="97">
        <f>+F20*828116</f>
        <v>20953703211.760002</v>
      </c>
      <c r="H20" s="98" t="s">
        <v>194</v>
      </c>
      <c r="I20" s="99" t="s">
        <v>0</v>
      </c>
    </row>
    <row r="21" spans="1:14" ht="65.099999999999994" customHeight="1" x14ac:dyDescent="0.25">
      <c r="A21" s="32">
        <v>3</v>
      </c>
      <c r="B21" s="94" t="s">
        <v>196</v>
      </c>
      <c r="C21" s="93" t="s">
        <v>193</v>
      </c>
      <c r="D21" s="94">
        <v>24</v>
      </c>
      <c r="E21" s="94" t="s">
        <v>0</v>
      </c>
      <c r="F21" s="133">
        <v>8123.4</v>
      </c>
      <c r="G21" s="97">
        <f t="shared" ref="G21:G22" si="0">+F21*828116</f>
        <v>6727117514.3999996</v>
      </c>
      <c r="H21" s="98" t="s">
        <v>194</v>
      </c>
      <c r="I21" s="99" t="s">
        <v>0</v>
      </c>
    </row>
    <row r="22" spans="1:14" ht="73.5" customHeight="1" x14ac:dyDescent="0.25">
      <c r="A22" s="32">
        <v>4</v>
      </c>
      <c r="B22" s="94" t="s">
        <v>197</v>
      </c>
      <c r="C22" s="93" t="s">
        <v>193</v>
      </c>
      <c r="D22" s="94">
        <v>33</v>
      </c>
      <c r="E22" s="94" t="s">
        <v>0</v>
      </c>
      <c r="F22" s="133">
        <v>2955.29</v>
      </c>
      <c r="G22" s="97">
        <f t="shared" si="0"/>
        <v>2447322933.6399999</v>
      </c>
      <c r="H22" s="98" t="s">
        <v>194</v>
      </c>
      <c r="I22" s="99" t="s">
        <v>0</v>
      </c>
    </row>
    <row r="23" spans="1:14" ht="65.099999999999994" customHeight="1" x14ac:dyDescent="0.25">
      <c r="A23" s="32">
        <v>5</v>
      </c>
      <c r="B23" s="2"/>
      <c r="C23" s="2"/>
      <c r="D23" s="2"/>
      <c r="E23" s="2"/>
      <c r="F23" s="130"/>
      <c r="G23" s="131"/>
      <c r="H23" s="24"/>
      <c r="I23" s="132"/>
    </row>
    <row r="24" spans="1:14" ht="65.099999999999994" customHeight="1" x14ac:dyDescent="0.25">
      <c r="A24" s="32">
        <v>6</v>
      </c>
      <c r="B24" s="2"/>
      <c r="C24" s="2"/>
      <c r="D24" s="2"/>
      <c r="E24" s="2"/>
      <c r="F24" s="130"/>
      <c r="G24" s="131"/>
      <c r="H24" s="24"/>
      <c r="I24" s="132"/>
    </row>
    <row r="25" spans="1:14" x14ac:dyDescent="0.25">
      <c r="B25" s="2"/>
      <c r="D25" s="2"/>
      <c r="E25" s="32" t="s">
        <v>35</v>
      </c>
      <c r="F25" s="25">
        <f>SUM(F19:F24)</f>
        <v>51824.68</v>
      </c>
      <c r="G25" s="40">
        <f>SUM(G19:G24)</f>
        <v>42916846702.880005</v>
      </c>
      <c r="H25" s="26"/>
    </row>
    <row r="26" spans="1:14" x14ac:dyDescent="0.25">
      <c r="B26" s="34"/>
      <c r="D26" s="34"/>
      <c r="E26" s="42" t="s">
        <v>18</v>
      </c>
      <c r="F26" s="43"/>
      <c r="G26" s="44">
        <f>+G25/828116</f>
        <v>51824.680000000008</v>
      </c>
      <c r="H26" s="41"/>
    </row>
    <row r="28" spans="1:14" ht="43.5" customHeight="1" x14ac:dyDescent="0.25">
      <c r="B28" s="305" t="s">
        <v>44</v>
      </c>
      <c r="C28" s="305"/>
      <c r="D28" s="305"/>
      <c r="E28" s="305"/>
      <c r="F28" s="305"/>
      <c r="G28" s="305"/>
      <c r="H28" s="306"/>
      <c r="I28" s="306"/>
      <c r="J28" s="306"/>
      <c r="K28" s="306"/>
      <c r="L28" s="306"/>
      <c r="M28" s="306"/>
      <c r="N28" s="306"/>
    </row>
    <row r="29" spans="1:14" ht="31.5" customHeight="1" x14ac:dyDescent="0.25">
      <c r="B29" s="307" t="s">
        <v>45</v>
      </c>
      <c r="C29" s="307"/>
      <c r="D29" s="307"/>
      <c r="E29" s="307"/>
      <c r="F29" s="307"/>
      <c r="G29" s="307"/>
      <c r="H29" s="308"/>
      <c r="I29" s="308"/>
      <c r="J29" s="308"/>
      <c r="K29" s="308"/>
      <c r="L29" s="308"/>
      <c r="M29" s="308"/>
      <c r="N29" s="308"/>
    </row>
    <row r="30" spans="1:14" ht="31.5" customHeight="1" x14ac:dyDescent="0.25">
      <c r="B30" s="307" t="s">
        <v>46</v>
      </c>
      <c r="C30" s="307"/>
      <c r="D30" s="307"/>
      <c r="E30" s="307"/>
      <c r="F30" s="307"/>
      <c r="G30" s="307"/>
      <c r="H30" s="309"/>
      <c r="I30" s="309"/>
      <c r="J30" s="309"/>
      <c r="K30" s="309"/>
      <c r="L30" s="309"/>
      <c r="M30" s="309"/>
      <c r="N30" s="309"/>
    </row>
    <row r="31" spans="1:14" ht="34.5" customHeight="1" x14ac:dyDescent="0.25">
      <c r="B31" s="307" t="s">
        <v>47</v>
      </c>
      <c r="C31" s="310"/>
      <c r="D31" s="310"/>
      <c r="E31" s="310"/>
      <c r="F31" s="310"/>
      <c r="G31" s="310"/>
      <c r="H31" s="309"/>
      <c r="I31" s="309"/>
      <c r="J31" s="309"/>
      <c r="K31" s="309"/>
      <c r="L31" s="309"/>
      <c r="M31" s="309"/>
      <c r="N31" s="309"/>
    </row>
    <row r="32" spans="1:14" ht="34.5" customHeight="1" x14ac:dyDescent="0.25">
      <c r="B32" s="307" t="s">
        <v>48</v>
      </c>
      <c r="C32" s="310"/>
      <c r="D32" s="310"/>
      <c r="E32" s="310"/>
      <c r="F32" s="310"/>
      <c r="G32" s="310"/>
      <c r="H32" s="309"/>
      <c r="I32" s="309"/>
      <c r="J32" s="309"/>
      <c r="K32" s="309"/>
      <c r="L32" s="309"/>
      <c r="M32" s="309"/>
      <c r="N32" s="309"/>
    </row>
    <row r="33" spans="2:10" x14ac:dyDescent="0.25">
      <c r="B33" s="27"/>
      <c r="G33" s="28"/>
    </row>
    <row r="36" spans="2:10" x14ac:dyDescent="0.25">
      <c r="B36" s="311" t="s">
        <v>49</v>
      </c>
      <c r="C36" s="311"/>
      <c r="D36" s="311"/>
    </row>
    <row r="37" spans="2:10" x14ac:dyDescent="0.25">
      <c r="B37" s="20"/>
    </row>
    <row r="42" spans="2:10" x14ac:dyDescent="0.25">
      <c r="H42" s="29"/>
      <c r="I42" s="30"/>
      <c r="J42" s="31"/>
    </row>
    <row r="43" spans="2:10" x14ac:dyDescent="0.25">
      <c r="H43" s="29"/>
      <c r="I43" s="30"/>
      <c r="J43" s="31"/>
    </row>
  </sheetData>
  <mergeCells count="18">
    <mergeCell ref="B31:G31"/>
    <mergeCell ref="H31:N31"/>
    <mergeCell ref="B32:G32"/>
    <mergeCell ref="H32:N32"/>
    <mergeCell ref="B36:D36"/>
    <mergeCell ref="B28:G28"/>
    <mergeCell ref="H28:N28"/>
    <mergeCell ref="B29:G29"/>
    <mergeCell ref="H29:N29"/>
    <mergeCell ref="B30:G30"/>
    <mergeCell ref="H30:N30"/>
    <mergeCell ref="B2:I2"/>
    <mergeCell ref="B3:I3"/>
    <mergeCell ref="B4:I4"/>
    <mergeCell ref="E6:F6"/>
    <mergeCell ref="E7:F8"/>
    <mergeCell ref="G7:G9"/>
    <mergeCell ref="E9:F9"/>
  </mergeCells>
  <pageMargins left="0.7" right="0.7" top="0.75" bottom="0.75" header="0.3" footer="0.3"/>
  <pageSetup scale="40" orientation="portrait" r:id="rId1"/>
  <colBreaks count="1" manualBreakCount="1">
    <brk id="9"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41"/>
  <sheetViews>
    <sheetView view="pageBreakPreview" topLeftCell="A7" zoomScale="60" zoomScaleNormal="80" workbookViewId="0">
      <selection activeCell="G24" sqref="G24"/>
    </sheetView>
  </sheetViews>
  <sheetFormatPr baseColWidth="10" defaultRowHeight="15" x14ac:dyDescent="0.25"/>
  <cols>
    <col min="1" max="1" width="5.140625" style="20" customWidth="1"/>
    <col min="2" max="2" width="26.5703125" style="22" customWidth="1"/>
    <col min="3" max="3" width="30" style="22" customWidth="1"/>
    <col min="4" max="4" width="18.7109375" style="20" customWidth="1"/>
    <col min="5" max="5" width="15.5703125" style="20" customWidth="1"/>
    <col min="6" max="6" width="25.140625" style="20" customWidth="1"/>
    <col min="7" max="7" width="34" style="20" bestFit="1" customWidth="1"/>
    <col min="8" max="8" width="17.5703125" style="20" customWidth="1"/>
    <col min="9" max="9" width="50.28515625" style="20" customWidth="1"/>
    <col min="10" max="10" width="11.42578125" style="20"/>
    <col min="11" max="11" width="12.28515625" style="20" bestFit="1" customWidth="1"/>
    <col min="12" max="12" width="11.42578125" style="20"/>
    <col min="13" max="13" width="10.85546875" style="20" bestFit="1" customWidth="1"/>
    <col min="14" max="14" width="6.28515625" style="20" customWidth="1"/>
    <col min="15" max="16384" width="11.42578125" style="20"/>
  </cols>
  <sheetData>
    <row r="2" spans="2:9" ht="23.25" x14ac:dyDescent="0.25">
      <c r="B2" s="293" t="s">
        <v>26</v>
      </c>
      <c r="C2" s="293"/>
      <c r="D2" s="293"/>
      <c r="E2" s="293"/>
      <c r="F2" s="293"/>
      <c r="G2" s="293"/>
      <c r="H2" s="293"/>
      <c r="I2" s="293"/>
    </row>
    <row r="3" spans="2:9" ht="23.25" x14ac:dyDescent="0.25">
      <c r="B3" s="293" t="s">
        <v>37</v>
      </c>
      <c r="C3" s="293"/>
      <c r="D3" s="293"/>
      <c r="E3" s="293"/>
      <c r="F3" s="293"/>
      <c r="G3" s="293"/>
      <c r="H3" s="293"/>
      <c r="I3" s="293"/>
    </row>
    <row r="4" spans="2:9" ht="23.25" x14ac:dyDescent="0.25">
      <c r="B4" s="293" t="s">
        <v>27</v>
      </c>
      <c r="C4" s="293"/>
      <c r="D4" s="293"/>
      <c r="E4" s="293"/>
      <c r="F4" s="293"/>
      <c r="G4" s="293"/>
      <c r="H4" s="293"/>
      <c r="I4" s="293"/>
    </row>
    <row r="5" spans="2:9" ht="15.75" thickBot="1" x14ac:dyDescent="0.3"/>
    <row r="6" spans="2:9" ht="90" customHeight="1" x14ac:dyDescent="0.25">
      <c r="B6" s="63" t="s">
        <v>198</v>
      </c>
      <c r="C6" s="92" t="s">
        <v>176</v>
      </c>
      <c r="D6" s="66" t="s">
        <v>50</v>
      </c>
      <c r="E6" s="294" t="s">
        <v>52</v>
      </c>
      <c r="F6" s="295"/>
      <c r="G6" s="45" t="s">
        <v>0</v>
      </c>
      <c r="H6" s="108"/>
      <c r="I6" s="108"/>
    </row>
    <row r="7" spans="2:9" ht="34.5" customHeight="1" x14ac:dyDescent="0.25">
      <c r="B7" s="64"/>
      <c r="C7" s="67" t="s">
        <v>199</v>
      </c>
      <c r="D7" s="68">
        <v>0.8</v>
      </c>
      <c r="E7" s="296" t="s">
        <v>53</v>
      </c>
      <c r="F7" s="297"/>
      <c r="G7" s="300" t="s">
        <v>1</v>
      </c>
      <c r="H7" s="33"/>
      <c r="I7" s="34"/>
    </row>
    <row r="8" spans="2:9" ht="58.5" customHeight="1" x14ac:dyDescent="0.25">
      <c r="B8" s="64"/>
      <c r="C8" s="67" t="s">
        <v>200</v>
      </c>
      <c r="D8" s="68">
        <v>0.2</v>
      </c>
      <c r="E8" s="298"/>
      <c r="F8" s="299"/>
      <c r="G8" s="301"/>
      <c r="H8" s="35"/>
      <c r="I8" s="34"/>
    </row>
    <row r="9" spans="2:9" ht="39.75" customHeight="1" thickBot="1" x14ac:dyDescent="0.3">
      <c r="B9" s="65"/>
      <c r="C9" s="67"/>
      <c r="D9" s="68"/>
      <c r="E9" s="303" t="s">
        <v>51</v>
      </c>
      <c r="F9" s="304"/>
      <c r="G9" s="302"/>
      <c r="H9" s="35"/>
      <c r="I9" s="34"/>
    </row>
    <row r="11" spans="2:9" x14ac:dyDescent="0.25">
      <c r="B11" s="21" t="s">
        <v>28</v>
      </c>
      <c r="C11" s="32" t="s">
        <v>29</v>
      </c>
      <c r="D11" s="32" t="s">
        <v>18</v>
      </c>
      <c r="E11" s="32" t="s">
        <v>0</v>
      </c>
    </row>
    <row r="12" spans="2:9" x14ac:dyDescent="0.25">
      <c r="B12" s="36" t="s">
        <v>30</v>
      </c>
      <c r="C12" s="37">
        <v>5437884572</v>
      </c>
      <c r="D12" s="38">
        <f>+C12/828116</f>
        <v>6566.5734897043412</v>
      </c>
      <c r="E12" s="38"/>
    </row>
    <row r="13" spans="2:9" x14ac:dyDescent="0.25">
      <c r="B13" s="36" t="s">
        <v>38</v>
      </c>
      <c r="C13" s="37">
        <f>+C12*0.75</f>
        <v>4078413429</v>
      </c>
      <c r="D13" s="38">
        <f>+C13/828116</f>
        <v>4924.9301172782561</v>
      </c>
      <c r="E13" s="126" t="s">
        <v>192</v>
      </c>
    </row>
    <row r="14" spans="2:9" x14ac:dyDescent="0.25">
      <c r="B14" s="36" t="s">
        <v>39</v>
      </c>
      <c r="C14" s="37">
        <f>+C12*1.2</f>
        <v>6525461486.3999996</v>
      </c>
      <c r="D14" s="38">
        <f>+C14/828116</f>
        <v>7879.8881876452087</v>
      </c>
      <c r="E14" s="126"/>
    </row>
    <row r="15" spans="2:9" x14ac:dyDescent="0.25">
      <c r="B15" s="36" t="s">
        <v>40</v>
      </c>
      <c r="C15" s="37">
        <f>+C12*1.5</f>
        <v>8156826858</v>
      </c>
      <c r="D15" s="38">
        <f>+C15/828116</f>
        <v>9849.8602345565123</v>
      </c>
      <c r="E15" s="38"/>
    </row>
    <row r="17" spans="1:14" x14ac:dyDescent="0.25">
      <c r="B17" s="23" t="s">
        <v>31</v>
      </c>
      <c r="C17" s="23"/>
      <c r="D17" s="23"/>
    </row>
    <row r="18" spans="1:14" ht="30" x14ac:dyDescent="0.25">
      <c r="B18" s="32" t="s">
        <v>32</v>
      </c>
      <c r="C18" s="21" t="s">
        <v>33</v>
      </c>
      <c r="D18" s="32" t="s">
        <v>34</v>
      </c>
      <c r="E18" s="21" t="s">
        <v>54</v>
      </c>
      <c r="F18" s="21" t="s">
        <v>41</v>
      </c>
      <c r="G18" s="21" t="s">
        <v>42</v>
      </c>
      <c r="H18" s="21" t="s">
        <v>43</v>
      </c>
      <c r="I18" s="32" t="s">
        <v>17</v>
      </c>
    </row>
    <row r="19" spans="1:14" ht="65.099999999999994" customHeight="1" x14ac:dyDescent="0.25">
      <c r="A19" s="32">
        <v>1</v>
      </c>
      <c r="B19" s="134" t="s">
        <v>201</v>
      </c>
      <c r="C19" s="134" t="s">
        <v>202</v>
      </c>
      <c r="D19" s="135">
        <v>34</v>
      </c>
      <c r="E19" s="135" t="s">
        <v>0</v>
      </c>
      <c r="F19" s="136">
        <v>4148.08</v>
      </c>
      <c r="G19" s="137">
        <f>+F19*828116</f>
        <v>3435091417.2799997</v>
      </c>
      <c r="H19" s="128" t="s">
        <v>203</v>
      </c>
      <c r="I19" s="129" t="s">
        <v>0</v>
      </c>
    </row>
    <row r="20" spans="1:14" ht="75.75" customHeight="1" x14ac:dyDescent="0.25">
      <c r="A20" s="32">
        <v>2</v>
      </c>
      <c r="B20" s="134" t="s">
        <v>204</v>
      </c>
      <c r="C20" s="134" t="s">
        <v>202</v>
      </c>
      <c r="D20" s="135" t="s">
        <v>205</v>
      </c>
      <c r="E20" s="135" t="s">
        <v>0</v>
      </c>
      <c r="F20" s="136">
        <v>2276.5300000000002</v>
      </c>
      <c r="G20" s="137">
        <f t="shared" ref="G20" si="0">+F20*828116</f>
        <v>1885230917.4800003</v>
      </c>
      <c r="H20" s="128" t="s">
        <v>206</v>
      </c>
      <c r="I20" s="129" t="s">
        <v>0</v>
      </c>
    </row>
    <row r="21" spans="1:14" ht="65.099999999999994" customHeight="1" x14ac:dyDescent="0.25">
      <c r="A21" s="32">
        <v>5</v>
      </c>
      <c r="B21" s="2"/>
      <c r="C21" s="2"/>
      <c r="D21" s="2"/>
      <c r="E21" s="2"/>
      <c r="F21" s="130"/>
      <c r="G21" s="131"/>
      <c r="H21" s="24"/>
      <c r="I21" s="132"/>
    </row>
    <row r="22" spans="1:14" ht="65.099999999999994" customHeight="1" x14ac:dyDescent="0.25">
      <c r="A22" s="32">
        <v>6</v>
      </c>
      <c r="B22" s="2"/>
      <c r="C22" s="2"/>
      <c r="D22" s="2"/>
      <c r="E22" s="2"/>
      <c r="F22" s="130"/>
      <c r="G22" s="131"/>
      <c r="H22" s="24"/>
      <c r="I22" s="132"/>
    </row>
    <row r="23" spans="1:14" x14ac:dyDescent="0.25">
      <c r="B23" s="2"/>
      <c r="D23" s="2"/>
      <c r="E23" s="32" t="s">
        <v>35</v>
      </c>
      <c r="F23" s="25">
        <f>SUM(F19:F22)</f>
        <v>6424.6100000000006</v>
      </c>
      <c r="G23" s="40">
        <f>SUM(G19:G22)</f>
        <v>5320322334.7600002</v>
      </c>
      <c r="H23" s="26"/>
    </row>
    <row r="24" spans="1:14" x14ac:dyDescent="0.25">
      <c r="B24" s="34"/>
      <c r="D24" s="34"/>
      <c r="E24" s="42" t="s">
        <v>18</v>
      </c>
      <c r="F24" s="43"/>
      <c r="G24" s="44">
        <f>+G23/828116</f>
        <v>6424.6100000000006</v>
      </c>
      <c r="H24" s="41"/>
    </row>
    <row r="26" spans="1:14" ht="43.5" customHeight="1" x14ac:dyDescent="0.25">
      <c r="B26" s="305" t="s">
        <v>44</v>
      </c>
      <c r="C26" s="305"/>
      <c r="D26" s="305"/>
      <c r="E26" s="305"/>
      <c r="F26" s="305"/>
      <c r="G26" s="305"/>
      <c r="H26" s="306"/>
      <c r="I26" s="306"/>
      <c r="J26" s="306"/>
      <c r="K26" s="306"/>
      <c r="L26" s="306"/>
      <c r="M26" s="306"/>
      <c r="N26" s="306"/>
    </row>
    <row r="27" spans="1:14" ht="31.5" customHeight="1" x14ac:dyDescent="0.25">
      <c r="B27" s="307" t="s">
        <v>45</v>
      </c>
      <c r="C27" s="307"/>
      <c r="D27" s="307"/>
      <c r="E27" s="307"/>
      <c r="F27" s="307"/>
      <c r="G27" s="307"/>
      <c r="H27" s="308"/>
      <c r="I27" s="308"/>
      <c r="J27" s="308"/>
      <c r="K27" s="308"/>
      <c r="L27" s="308"/>
      <c r="M27" s="308"/>
      <c r="N27" s="308"/>
    </row>
    <row r="28" spans="1:14" ht="31.5" customHeight="1" x14ac:dyDescent="0.25">
      <c r="B28" s="307" t="s">
        <v>46</v>
      </c>
      <c r="C28" s="307"/>
      <c r="D28" s="307"/>
      <c r="E28" s="307"/>
      <c r="F28" s="307"/>
      <c r="G28" s="307"/>
      <c r="H28" s="309"/>
      <c r="I28" s="309"/>
      <c r="J28" s="309"/>
      <c r="K28" s="309"/>
      <c r="L28" s="309"/>
      <c r="M28" s="309"/>
      <c r="N28" s="309"/>
    </row>
    <row r="29" spans="1:14" ht="34.5" customHeight="1" x14ac:dyDescent="0.25">
      <c r="B29" s="307" t="s">
        <v>47</v>
      </c>
      <c r="C29" s="310"/>
      <c r="D29" s="310"/>
      <c r="E29" s="310"/>
      <c r="F29" s="310"/>
      <c r="G29" s="310"/>
      <c r="H29" s="309"/>
      <c r="I29" s="309"/>
      <c r="J29" s="309"/>
      <c r="K29" s="309"/>
      <c r="L29" s="309"/>
      <c r="M29" s="309"/>
      <c r="N29" s="309"/>
    </row>
    <row r="30" spans="1:14" ht="34.5" customHeight="1" x14ac:dyDescent="0.25">
      <c r="B30" s="307" t="s">
        <v>48</v>
      </c>
      <c r="C30" s="310"/>
      <c r="D30" s="310"/>
      <c r="E30" s="310"/>
      <c r="F30" s="310"/>
      <c r="G30" s="310"/>
      <c r="H30" s="309"/>
      <c r="I30" s="309"/>
      <c r="J30" s="309"/>
      <c r="K30" s="309"/>
      <c r="L30" s="309"/>
      <c r="M30" s="309"/>
      <c r="N30" s="309"/>
    </row>
    <row r="31" spans="1:14" x14ac:dyDescent="0.25">
      <c r="B31" s="27"/>
      <c r="G31" s="28"/>
    </row>
    <row r="34" spans="2:10" x14ac:dyDescent="0.25">
      <c r="B34" s="311" t="s">
        <v>49</v>
      </c>
      <c r="C34" s="311"/>
      <c r="D34" s="311"/>
    </row>
    <row r="35" spans="2:10" x14ac:dyDescent="0.25">
      <c r="B35" s="20"/>
    </row>
    <row r="40" spans="2:10" x14ac:dyDescent="0.25">
      <c r="H40" s="29"/>
      <c r="I40" s="30"/>
      <c r="J40" s="31"/>
    </row>
    <row r="41" spans="2:10" x14ac:dyDescent="0.25">
      <c r="H41" s="29"/>
      <c r="I41" s="30"/>
      <c r="J41" s="31"/>
    </row>
  </sheetData>
  <mergeCells count="18">
    <mergeCell ref="B29:G29"/>
    <mergeCell ref="H29:N29"/>
    <mergeCell ref="B30:G30"/>
    <mergeCell ref="H30:N30"/>
    <mergeCell ref="B34:D34"/>
    <mergeCell ref="B26:G26"/>
    <mergeCell ref="H26:N26"/>
    <mergeCell ref="B27:G27"/>
    <mergeCell ref="H27:N27"/>
    <mergeCell ref="B28:G28"/>
    <mergeCell ref="H28:N28"/>
    <mergeCell ref="B2:I2"/>
    <mergeCell ref="B3:I3"/>
    <mergeCell ref="B4:I4"/>
    <mergeCell ref="E6:F6"/>
    <mergeCell ref="E7:F8"/>
    <mergeCell ref="G7:G9"/>
    <mergeCell ref="E9:F9"/>
  </mergeCells>
  <pageMargins left="0.7" right="0.7" top="0.75" bottom="0.75" header="0.3" footer="0.3"/>
  <pageSetup scale="40" orientation="portrait" r:id="rId1"/>
  <colBreaks count="1" manualBreakCount="1">
    <brk id="9"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41"/>
  <sheetViews>
    <sheetView view="pageBreakPreview" topLeftCell="C10" zoomScale="60" zoomScaleNormal="100" workbookViewId="0">
      <selection activeCell="F25" sqref="F25"/>
    </sheetView>
  </sheetViews>
  <sheetFormatPr baseColWidth="10" defaultRowHeight="15" x14ac:dyDescent="0.25"/>
  <cols>
    <col min="1" max="1" width="5.140625" style="20" customWidth="1"/>
    <col min="2" max="2" width="26.5703125" style="22" customWidth="1"/>
    <col min="3" max="3" width="30" style="22" customWidth="1"/>
    <col min="4" max="4" width="18.7109375" style="20" customWidth="1"/>
    <col min="5" max="5" width="15.5703125" style="20" customWidth="1"/>
    <col min="6" max="6" width="25.140625" style="20" customWidth="1"/>
    <col min="7" max="7" width="34" style="20" bestFit="1" customWidth="1"/>
    <col min="8" max="8" width="17.5703125" style="20" customWidth="1"/>
    <col min="9" max="9" width="50.28515625" style="20" customWidth="1"/>
    <col min="10" max="10" width="11.42578125" style="20"/>
    <col min="11" max="11" width="12.28515625" style="20" bestFit="1" customWidth="1"/>
    <col min="12" max="12" width="11.42578125" style="20"/>
    <col min="13" max="13" width="10.85546875" style="20" bestFit="1" customWidth="1"/>
    <col min="14" max="14" width="6.28515625" style="20" customWidth="1"/>
    <col min="15" max="16384" width="11.42578125" style="20"/>
  </cols>
  <sheetData>
    <row r="2" spans="2:9" ht="23.25" x14ac:dyDescent="0.25">
      <c r="B2" s="293" t="s">
        <v>26</v>
      </c>
      <c r="C2" s="293"/>
      <c r="D2" s="293"/>
      <c r="E2" s="293"/>
      <c r="F2" s="293"/>
      <c r="G2" s="293"/>
      <c r="H2" s="293"/>
      <c r="I2" s="293"/>
    </row>
    <row r="3" spans="2:9" ht="23.25" x14ac:dyDescent="0.25">
      <c r="B3" s="293" t="s">
        <v>37</v>
      </c>
      <c r="C3" s="293"/>
      <c r="D3" s="293"/>
      <c r="E3" s="293"/>
      <c r="F3" s="293"/>
      <c r="G3" s="293"/>
      <c r="H3" s="293"/>
      <c r="I3" s="293"/>
    </row>
    <row r="4" spans="2:9" ht="23.25" x14ac:dyDescent="0.25">
      <c r="B4" s="293" t="s">
        <v>27</v>
      </c>
      <c r="C4" s="293"/>
      <c r="D4" s="293"/>
      <c r="E4" s="293"/>
      <c r="F4" s="293"/>
      <c r="G4" s="293"/>
      <c r="H4" s="293"/>
      <c r="I4" s="293"/>
    </row>
    <row r="5" spans="2:9" ht="15.75" thickBot="1" x14ac:dyDescent="0.3"/>
    <row r="6" spans="2:9" ht="90" customHeight="1" x14ac:dyDescent="0.25">
      <c r="B6" s="63" t="s">
        <v>207</v>
      </c>
      <c r="C6" s="92" t="s">
        <v>178</v>
      </c>
      <c r="D6" s="66" t="s">
        <v>50</v>
      </c>
      <c r="E6" s="294" t="s">
        <v>52</v>
      </c>
      <c r="F6" s="295"/>
      <c r="G6" s="45" t="s">
        <v>0</v>
      </c>
      <c r="H6" s="108"/>
      <c r="I6" s="108"/>
    </row>
    <row r="7" spans="2:9" ht="34.5" customHeight="1" x14ac:dyDescent="0.25">
      <c r="B7" s="64"/>
      <c r="C7" s="67" t="s">
        <v>208</v>
      </c>
      <c r="D7" s="68">
        <v>1</v>
      </c>
      <c r="E7" s="296" t="s">
        <v>53</v>
      </c>
      <c r="F7" s="297"/>
      <c r="G7" s="300" t="s">
        <v>1</v>
      </c>
      <c r="H7" s="33"/>
      <c r="I7" s="34"/>
    </row>
    <row r="8" spans="2:9" ht="58.5" customHeight="1" x14ac:dyDescent="0.25">
      <c r="B8" s="64"/>
      <c r="C8" s="67"/>
      <c r="D8" s="68"/>
      <c r="E8" s="298"/>
      <c r="F8" s="299"/>
      <c r="G8" s="301"/>
      <c r="H8" s="35"/>
      <c r="I8" s="34"/>
    </row>
    <row r="9" spans="2:9" ht="39.75" customHeight="1" thickBot="1" x14ac:dyDescent="0.3">
      <c r="B9" s="65"/>
      <c r="C9" s="67"/>
      <c r="D9" s="68"/>
      <c r="E9" s="303" t="s">
        <v>51</v>
      </c>
      <c r="F9" s="304"/>
      <c r="G9" s="302"/>
      <c r="H9" s="35"/>
      <c r="I9" s="34"/>
    </row>
    <row r="11" spans="2:9" x14ac:dyDescent="0.25">
      <c r="B11" s="21" t="s">
        <v>28</v>
      </c>
      <c r="C11" s="32" t="s">
        <v>29</v>
      </c>
      <c r="D11" s="32" t="s">
        <v>18</v>
      </c>
      <c r="E11" s="32" t="s">
        <v>0</v>
      </c>
    </row>
    <row r="12" spans="2:9" x14ac:dyDescent="0.25">
      <c r="B12" s="36" t="s">
        <v>30</v>
      </c>
      <c r="C12" s="37">
        <v>5437884572</v>
      </c>
      <c r="D12" s="38">
        <f>+C12/828116</f>
        <v>6566.5734897043412</v>
      </c>
      <c r="E12" s="38"/>
    </row>
    <row r="13" spans="2:9" x14ac:dyDescent="0.25">
      <c r="B13" s="36" t="s">
        <v>38</v>
      </c>
      <c r="C13" s="37">
        <f>+C12*0.75</f>
        <v>4078413429</v>
      </c>
      <c r="D13" s="38">
        <f>+C13/828116</f>
        <v>4924.9301172782561</v>
      </c>
      <c r="E13" s="126" t="s">
        <v>192</v>
      </c>
    </row>
    <row r="14" spans="2:9" x14ac:dyDescent="0.25">
      <c r="B14" s="36" t="s">
        <v>39</v>
      </c>
      <c r="C14" s="37">
        <f>+C12*1.2</f>
        <v>6525461486.3999996</v>
      </c>
      <c r="D14" s="38">
        <f>+C14/828116</f>
        <v>7879.8881876452087</v>
      </c>
      <c r="E14" s="126"/>
    </row>
    <row r="15" spans="2:9" x14ac:dyDescent="0.25">
      <c r="B15" s="36" t="s">
        <v>40</v>
      </c>
      <c r="C15" s="37">
        <f>+C12*1.5</f>
        <v>8156826858</v>
      </c>
      <c r="D15" s="38">
        <f>+C15/828116</f>
        <v>9849.8602345565123</v>
      </c>
      <c r="E15" s="38"/>
    </row>
    <row r="17" spans="1:14" x14ac:dyDescent="0.25">
      <c r="B17" s="23" t="s">
        <v>31</v>
      </c>
      <c r="C17" s="23"/>
      <c r="D17" s="23"/>
    </row>
    <row r="18" spans="1:14" ht="30" x14ac:dyDescent="0.25">
      <c r="B18" s="32" t="s">
        <v>32</v>
      </c>
      <c r="C18" s="21" t="s">
        <v>33</v>
      </c>
      <c r="D18" s="32" t="s">
        <v>34</v>
      </c>
      <c r="E18" s="21" t="s">
        <v>54</v>
      </c>
      <c r="F18" s="21" t="s">
        <v>41</v>
      </c>
      <c r="G18" s="21" t="s">
        <v>42</v>
      </c>
      <c r="H18" s="21" t="s">
        <v>43</v>
      </c>
      <c r="I18" s="32" t="s">
        <v>17</v>
      </c>
    </row>
    <row r="19" spans="1:14" ht="88.5" customHeight="1" x14ac:dyDescent="0.25">
      <c r="A19" s="32">
        <v>1</v>
      </c>
      <c r="B19" s="93" t="s">
        <v>209</v>
      </c>
      <c r="C19" s="93" t="s">
        <v>210</v>
      </c>
      <c r="D19" s="94">
        <v>118</v>
      </c>
      <c r="E19" s="94" t="s">
        <v>0</v>
      </c>
      <c r="F19" s="127">
        <v>3044.91</v>
      </c>
      <c r="G19" s="97">
        <f>+F19*828116</f>
        <v>2521538689.5599999</v>
      </c>
      <c r="H19" s="98" t="s">
        <v>211</v>
      </c>
      <c r="I19" s="99" t="s">
        <v>0</v>
      </c>
    </row>
    <row r="20" spans="1:14" ht="65.099999999999994" customHeight="1" x14ac:dyDescent="0.25">
      <c r="A20" s="32">
        <v>2</v>
      </c>
      <c r="B20" s="93" t="s">
        <v>212</v>
      </c>
      <c r="C20" s="93" t="s">
        <v>210</v>
      </c>
      <c r="D20" s="94">
        <v>109</v>
      </c>
      <c r="E20" s="94" t="s">
        <v>0</v>
      </c>
      <c r="F20" s="127">
        <v>3810.63</v>
      </c>
      <c r="G20" s="97">
        <f t="shared" ref="G20" si="0">+F20*828116</f>
        <v>3155643673.0799999</v>
      </c>
      <c r="H20" s="98" t="s">
        <v>213</v>
      </c>
      <c r="I20" s="99" t="s">
        <v>0</v>
      </c>
    </row>
    <row r="21" spans="1:14" ht="65.099999999999994" customHeight="1" x14ac:dyDescent="0.25">
      <c r="A21" s="32">
        <v>5</v>
      </c>
      <c r="B21" s="2"/>
      <c r="C21" s="2"/>
      <c r="D21" s="2"/>
      <c r="E21" s="2"/>
      <c r="F21" s="130"/>
      <c r="G21" s="131"/>
      <c r="H21" s="24"/>
      <c r="I21" s="132"/>
    </row>
    <row r="22" spans="1:14" ht="65.099999999999994" customHeight="1" x14ac:dyDescent="0.25">
      <c r="A22" s="32">
        <v>6</v>
      </c>
      <c r="B22" s="2"/>
      <c r="C22" s="2"/>
      <c r="D22" s="2"/>
      <c r="E22" s="2"/>
      <c r="F22" s="130"/>
      <c r="G22" s="131"/>
      <c r="H22" s="24"/>
      <c r="I22" s="132"/>
    </row>
    <row r="23" spans="1:14" x14ac:dyDescent="0.25">
      <c r="B23" s="2"/>
      <c r="D23" s="2"/>
      <c r="E23" s="32" t="s">
        <v>35</v>
      </c>
      <c r="F23" s="25">
        <f>SUM(F19:F22)</f>
        <v>6855.54</v>
      </c>
      <c r="G23" s="40">
        <f>SUM(G19:G22)</f>
        <v>5677182362.6399994</v>
      </c>
      <c r="H23" s="26"/>
    </row>
    <row r="24" spans="1:14" x14ac:dyDescent="0.25">
      <c r="B24" s="34"/>
      <c r="D24" s="34"/>
      <c r="E24" s="42" t="s">
        <v>18</v>
      </c>
      <c r="F24" s="43"/>
      <c r="G24" s="44">
        <f>+G23/828116</f>
        <v>6855.5399999999991</v>
      </c>
      <c r="H24" s="41"/>
    </row>
    <row r="26" spans="1:14" ht="43.5" customHeight="1" x14ac:dyDescent="0.25">
      <c r="B26" s="305" t="s">
        <v>44</v>
      </c>
      <c r="C26" s="305"/>
      <c r="D26" s="305"/>
      <c r="E26" s="305"/>
      <c r="F26" s="305"/>
      <c r="G26" s="305"/>
      <c r="H26" s="306"/>
      <c r="I26" s="306"/>
      <c r="J26" s="306"/>
      <c r="K26" s="306"/>
      <c r="L26" s="306"/>
      <c r="M26" s="306"/>
      <c r="N26" s="306"/>
    </row>
    <row r="27" spans="1:14" ht="31.5" customHeight="1" x14ac:dyDescent="0.25">
      <c r="B27" s="307" t="s">
        <v>45</v>
      </c>
      <c r="C27" s="307"/>
      <c r="D27" s="307"/>
      <c r="E27" s="307"/>
      <c r="F27" s="307"/>
      <c r="G27" s="307"/>
      <c r="H27" s="308"/>
      <c r="I27" s="308"/>
      <c r="J27" s="308"/>
      <c r="K27" s="308"/>
      <c r="L27" s="308"/>
      <c r="M27" s="308"/>
      <c r="N27" s="308"/>
    </row>
    <row r="28" spans="1:14" ht="31.5" customHeight="1" x14ac:dyDescent="0.25">
      <c r="B28" s="307" t="s">
        <v>46</v>
      </c>
      <c r="C28" s="307"/>
      <c r="D28" s="307"/>
      <c r="E28" s="307"/>
      <c r="F28" s="307"/>
      <c r="G28" s="307"/>
      <c r="H28" s="309"/>
      <c r="I28" s="309"/>
      <c r="J28" s="309"/>
      <c r="K28" s="309"/>
      <c r="L28" s="309"/>
      <c r="M28" s="309"/>
      <c r="N28" s="309"/>
    </row>
    <row r="29" spans="1:14" ht="34.5" customHeight="1" x14ac:dyDescent="0.25">
      <c r="B29" s="307" t="s">
        <v>47</v>
      </c>
      <c r="C29" s="310"/>
      <c r="D29" s="310"/>
      <c r="E29" s="310"/>
      <c r="F29" s="310"/>
      <c r="G29" s="310"/>
      <c r="H29" s="309"/>
      <c r="I29" s="309"/>
      <c r="J29" s="309"/>
      <c r="K29" s="309"/>
      <c r="L29" s="309"/>
      <c r="M29" s="309"/>
      <c r="N29" s="309"/>
    </row>
    <row r="30" spans="1:14" ht="34.5" customHeight="1" x14ac:dyDescent="0.25">
      <c r="B30" s="307" t="s">
        <v>48</v>
      </c>
      <c r="C30" s="310"/>
      <c r="D30" s="310"/>
      <c r="E30" s="310"/>
      <c r="F30" s="310"/>
      <c r="G30" s="310"/>
      <c r="H30" s="309"/>
      <c r="I30" s="309"/>
      <c r="J30" s="309"/>
      <c r="K30" s="309"/>
      <c r="L30" s="309"/>
      <c r="M30" s="309"/>
      <c r="N30" s="309"/>
    </row>
    <row r="31" spans="1:14" x14ac:dyDescent="0.25">
      <c r="B31" s="27"/>
      <c r="G31" s="28"/>
    </row>
    <row r="34" spans="2:10" x14ac:dyDescent="0.25">
      <c r="B34" s="311" t="s">
        <v>49</v>
      </c>
      <c r="C34" s="311"/>
      <c r="D34" s="311"/>
    </row>
    <row r="35" spans="2:10" x14ac:dyDescent="0.25">
      <c r="B35" s="20"/>
    </row>
    <row r="40" spans="2:10" x14ac:dyDescent="0.25">
      <c r="H40" s="29"/>
      <c r="I40" s="30"/>
      <c r="J40" s="31"/>
    </row>
    <row r="41" spans="2:10" x14ac:dyDescent="0.25">
      <c r="H41" s="29"/>
      <c r="I41" s="30"/>
      <c r="J41" s="31"/>
    </row>
  </sheetData>
  <mergeCells count="18">
    <mergeCell ref="B29:G29"/>
    <mergeCell ref="H29:N29"/>
    <mergeCell ref="B30:G30"/>
    <mergeCell ref="H30:N30"/>
    <mergeCell ref="B34:D34"/>
    <mergeCell ref="B26:G26"/>
    <mergeCell ref="H26:N26"/>
    <mergeCell ref="B27:G27"/>
    <mergeCell ref="H27:N27"/>
    <mergeCell ref="B28:G28"/>
    <mergeCell ref="H28:N28"/>
    <mergeCell ref="B2:I2"/>
    <mergeCell ref="B3:I3"/>
    <mergeCell ref="B4:I4"/>
    <mergeCell ref="E6:F6"/>
    <mergeCell ref="E7:F8"/>
    <mergeCell ref="G7:G9"/>
    <mergeCell ref="E9:F9"/>
  </mergeCells>
  <pageMargins left="0.7" right="0.7" top="0.75" bottom="0.75" header="0.3" footer="0.3"/>
  <pageSetup scale="40" orientation="portrait" r:id="rId1"/>
  <colBreaks count="1" manualBreakCount="1">
    <brk id="9"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43"/>
  <sheetViews>
    <sheetView view="pageBreakPreview" topLeftCell="A13" zoomScale="60" zoomScaleNormal="70" workbookViewId="0">
      <selection activeCell="G24" sqref="G24"/>
    </sheetView>
  </sheetViews>
  <sheetFormatPr baseColWidth="10" defaultRowHeight="15" x14ac:dyDescent="0.25"/>
  <cols>
    <col min="1" max="1" width="5.140625" style="20" customWidth="1"/>
    <col min="2" max="2" width="26.5703125" style="22" customWidth="1"/>
    <col min="3" max="3" width="30" style="22" customWidth="1"/>
    <col min="4" max="4" width="18.7109375" style="20" customWidth="1"/>
    <col min="5" max="5" width="15.5703125" style="20" customWidth="1"/>
    <col min="6" max="6" width="25.140625" style="20" customWidth="1"/>
    <col min="7" max="7" width="28.5703125" style="20" customWidth="1"/>
    <col min="8" max="8" width="17.5703125" style="20" customWidth="1"/>
    <col min="9" max="9" width="50.28515625" style="20" customWidth="1"/>
    <col min="10" max="10" width="11.42578125" style="20"/>
    <col min="11" max="11" width="12.28515625" style="20" bestFit="1" customWidth="1"/>
    <col min="12" max="12" width="11.42578125" style="20"/>
    <col min="13" max="13" width="10.85546875" style="20" bestFit="1" customWidth="1"/>
    <col min="14" max="14" width="6.28515625" style="20" customWidth="1"/>
    <col min="15" max="16384" width="11.42578125" style="20"/>
  </cols>
  <sheetData>
    <row r="2" spans="2:9" ht="23.25" x14ac:dyDescent="0.25">
      <c r="B2" s="293" t="s">
        <v>26</v>
      </c>
      <c r="C2" s="293"/>
      <c r="D2" s="293"/>
      <c r="E2" s="293"/>
      <c r="F2" s="293"/>
      <c r="G2" s="293"/>
      <c r="H2" s="293"/>
      <c r="I2" s="293"/>
    </row>
    <row r="3" spans="2:9" ht="23.25" x14ac:dyDescent="0.25">
      <c r="B3" s="293" t="s">
        <v>37</v>
      </c>
      <c r="C3" s="293"/>
      <c r="D3" s="293"/>
      <c r="E3" s="293"/>
      <c r="F3" s="293"/>
      <c r="G3" s="293"/>
      <c r="H3" s="293"/>
      <c r="I3" s="293"/>
    </row>
    <row r="4" spans="2:9" ht="23.25" x14ac:dyDescent="0.25">
      <c r="B4" s="293" t="s">
        <v>27</v>
      </c>
      <c r="C4" s="293"/>
      <c r="D4" s="293"/>
      <c r="E4" s="293"/>
      <c r="F4" s="293"/>
      <c r="G4" s="293"/>
      <c r="H4" s="293"/>
      <c r="I4" s="293"/>
    </row>
    <row r="5" spans="2:9" ht="15.75" thickBot="1" x14ac:dyDescent="0.3"/>
    <row r="6" spans="2:9" ht="90" customHeight="1" x14ac:dyDescent="0.25">
      <c r="B6" s="63" t="s">
        <v>214</v>
      </c>
      <c r="C6" s="92" t="s">
        <v>179</v>
      </c>
      <c r="D6" s="66" t="s">
        <v>50</v>
      </c>
      <c r="E6" s="294" t="s">
        <v>52</v>
      </c>
      <c r="F6" s="295"/>
      <c r="G6" s="45" t="s">
        <v>0</v>
      </c>
      <c r="H6" s="108"/>
      <c r="I6" s="108"/>
    </row>
    <row r="7" spans="2:9" ht="34.5" customHeight="1" x14ac:dyDescent="0.25">
      <c r="B7" s="64"/>
      <c r="C7" s="67" t="s">
        <v>215</v>
      </c>
      <c r="D7" s="68">
        <v>0.4</v>
      </c>
      <c r="E7" s="296" t="s">
        <v>53</v>
      </c>
      <c r="F7" s="297"/>
      <c r="G7" s="300" t="s">
        <v>1</v>
      </c>
      <c r="H7" s="33"/>
      <c r="I7" s="34"/>
    </row>
    <row r="8" spans="2:9" ht="58.5" customHeight="1" x14ac:dyDescent="0.25">
      <c r="B8" s="64"/>
      <c r="C8" s="67" t="s">
        <v>216</v>
      </c>
      <c r="D8" s="68">
        <v>0.4</v>
      </c>
      <c r="E8" s="298"/>
      <c r="F8" s="299"/>
      <c r="G8" s="301"/>
      <c r="H8" s="35"/>
      <c r="I8" s="34"/>
    </row>
    <row r="9" spans="2:9" ht="39.75" customHeight="1" thickBot="1" x14ac:dyDescent="0.3">
      <c r="B9" s="65"/>
      <c r="C9" s="67" t="s">
        <v>217</v>
      </c>
      <c r="D9" s="68">
        <v>0.2</v>
      </c>
      <c r="E9" s="303" t="s">
        <v>51</v>
      </c>
      <c r="F9" s="304"/>
      <c r="G9" s="302"/>
      <c r="H9" s="35"/>
      <c r="I9" s="34"/>
    </row>
    <row r="11" spans="2:9" x14ac:dyDescent="0.25">
      <c r="B11" s="21" t="s">
        <v>28</v>
      </c>
      <c r="C11" s="32" t="s">
        <v>29</v>
      </c>
      <c r="D11" s="32" t="s">
        <v>18</v>
      </c>
      <c r="E11" s="32" t="s">
        <v>0</v>
      </c>
    </row>
    <row r="12" spans="2:9" x14ac:dyDescent="0.25">
      <c r="B12" s="36" t="s">
        <v>30</v>
      </c>
      <c r="C12" s="37">
        <v>5437884572</v>
      </c>
      <c r="D12" s="38">
        <f>+C12/828116</f>
        <v>6566.5734897043412</v>
      </c>
      <c r="E12" s="38"/>
    </row>
    <row r="13" spans="2:9" x14ac:dyDescent="0.25">
      <c r="B13" s="36" t="s">
        <v>38</v>
      </c>
      <c r="C13" s="37">
        <f>+C12*0.75</f>
        <v>4078413429</v>
      </c>
      <c r="D13" s="38">
        <f>+C13/828116</f>
        <v>4924.9301172782561</v>
      </c>
      <c r="E13" s="38"/>
    </row>
    <row r="14" spans="2:9" x14ac:dyDescent="0.25">
      <c r="B14" s="36" t="s">
        <v>39</v>
      </c>
      <c r="C14" s="37">
        <f>+C12*1.2</f>
        <v>6525461486.3999996</v>
      </c>
      <c r="D14" s="38">
        <f>+C14/828116</f>
        <v>7879.8881876452087</v>
      </c>
      <c r="E14" s="126"/>
    </row>
    <row r="15" spans="2:9" x14ac:dyDescent="0.25">
      <c r="B15" s="36" t="s">
        <v>40</v>
      </c>
      <c r="C15" s="37">
        <f>+C12*1.5</f>
        <v>8156826858</v>
      </c>
      <c r="D15" s="38">
        <f>+C15/828116</f>
        <v>9849.8602345565123</v>
      </c>
      <c r="E15" s="126" t="s">
        <v>192</v>
      </c>
    </row>
    <row r="17" spans="1:14" x14ac:dyDescent="0.25">
      <c r="B17" s="23" t="s">
        <v>31</v>
      </c>
      <c r="C17" s="23"/>
      <c r="D17" s="23"/>
    </row>
    <row r="18" spans="1:14" ht="30" x14ac:dyDescent="0.25">
      <c r="B18" s="32" t="s">
        <v>32</v>
      </c>
      <c r="C18" s="21" t="s">
        <v>33</v>
      </c>
      <c r="D18" s="32" t="s">
        <v>34</v>
      </c>
      <c r="E18" s="21" t="s">
        <v>54</v>
      </c>
      <c r="F18" s="21" t="s">
        <v>41</v>
      </c>
      <c r="G18" s="21" t="s">
        <v>42</v>
      </c>
      <c r="H18" s="21" t="s">
        <v>43</v>
      </c>
      <c r="I18" s="32" t="s">
        <v>17</v>
      </c>
    </row>
    <row r="19" spans="1:14" ht="92.25" customHeight="1" x14ac:dyDescent="0.25">
      <c r="A19" s="32">
        <v>1</v>
      </c>
      <c r="B19" s="94" t="s">
        <v>218</v>
      </c>
      <c r="C19" s="93" t="s">
        <v>219</v>
      </c>
      <c r="D19" s="94">
        <v>23</v>
      </c>
      <c r="E19" s="94" t="s">
        <v>0</v>
      </c>
      <c r="F19" s="127">
        <v>5585.37</v>
      </c>
      <c r="G19" s="97">
        <f>+F19*828116</f>
        <v>4625334262.9200001</v>
      </c>
      <c r="H19" s="98" t="s">
        <v>220</v>
      </c>
      <c r="I19" s="99" t="s">
        <v>0</v>
      </c>
    </row>
    <row r="20" spans="1:14" ht="65.099999999999994" customHeight="1" x14ac:dyDescent="0.25">
      <c r="A20" s="32">
        <v>2</v>
      </c>
      <c r="B20" s="93" t="s">
        <v>221</v>
      </c>
      <c r="C20" s="93" t="s">
        <v>222</v>
      </c>
      <c r="D20" s="94">
        <v>102</v>
      </c>
      <c r="E20" s="94" t="s">
        <v>0</v>
      </c>
      <c r="F20" s="127">
        <v>1504.99</v>
      </c>
      <c r="G20" s="97">
        <f t="shared" ref="G20:G23" si="0">+F20*828116</f>
        <v>1246306298.8399999</v>
      </c>
      <c r="H20" s="98" t="s">
        <v>223</v>
      </c>
      <c r="I20" s="99" t="s">
        <v>0</v>
      </c>
    </row>
    <row r="21" spans="1:14" ht="65.099999999999994" customHeight="1" x14ac:dyDescent="0.25">
      <c r="A21" s="32">
        <v>3</v>
      </c>
      <c r="B21" s="94" t="s">
        <v>224</v>
      </c>
      <c r="C21" s="93" t="s">
        <v>222</v>
      </c>
      <c r="D21" s="94">
        <v>87</v>
      </c>
      <c r="E21" s="94" t="s">
        <v>0</v>
      </c>
      <c r="F21" s="127">
        <v>1384.55</v>
      </c>
      <c r="G21" s="97">
        <f t="shared" si="0"/>
        <v>1146568007.8</v>
      </c>
      <c r="H21" s="98" t="s">
        <v>225</v>
      </c>
      <c r="I21" s="99" t="s">
        <v>0</v>
      </c>
    </row>
    <row r="22" spans="1:14" ht="73.5" customHeight="1" x14ac:dyDescent="0.25">
      <c r="A22" s="32">
        <v>4</v>
      </c>
      <c r="B22" s="94" t="s">
        <v>226</v>
      </c>
      <c r="C22" s="93" t="s">
        <v>222</v>
      </c>
      <c r="D22" s="94">
        <v>3</v>
      </c>
      <c r="E22" s="94" t="s">
        <v>0</v>
      </c>
      <c r="F22" s="127">
        <v>1358.18</v>
      </c>
      <c r="G22" s="97">
        <f t="shared" si="0"/>
        <v>1124730588.8800001</v>
      </c>
      <c r="H22" s="98" t="s">
        <v>227</v>
      </c>
      <c r="I22" s="99" t="s">
        <v>0</v>
      </c>
    </row>
    <row r="23" spans="1:14" ht="65.099999999999994" customHeight="1" x14ac:dyDescent="0.25">
      <c r="A23" s="32">
        <v>5</v>
      </c>
      <c r="B23" s="94" t="s">
        <v>228</v>
      </c>
      <c r="C23" s="93" t="s">
        <v>222</v>
      </c>
      <c r="D23" s="94">
        <v>86</v>
      </c>
      <c r="E23" s="94" t="s">
        <v>0</v>
      </c>
      <c r="F23" s="127">
        <v>619.4</v>
      </c>
      <c r="G23" s="97">
        <f t="shared" si="0"/>
        <v>512935050.39999998</v>
      </c>
      <c r="H23" s="98" t="s">
        <v>229</v>
      </c>
      <c r="I23" s="99" t="s">
        <v>0</v>
      </c>
    </row>
    <row r="24" spans="1:14" ht="65.099999999999994" customHeight="1" x14ac:dyDescent="0.25">
      <c r="A24" s="32">
        <v>6</v>
      </c>
      <c r="B24" s="2"/>
      <c r="C24" s="2"/>
      <c r="D24" s="2"/>
      <c r="E24" s="2"/>
      <c r="F24" s="130"/>
      <c r="G24" s="131"/>
      <c r="H24" s="24"/>
      <c r="I24" s="132"/>
    </row>
    <row r="25" spans="1:14" x14ac:dyDescent="0.25">
      <c r="B25" s="2"/>
      <c r="D25" s="2"/>
      <c r="E25" s="32" t="s">
        <v>35</v>
      </c>
      <c r="F25" s="25">
        <f>SUM(F19:F24)</f>
        <v>10452.49</v>
      </c>
      <c r="G25" s="40">
        <f>SUM(G19:G24)</f>
        <v>8655874208.8400002</v>
      </c>
      <c r="H25" s="26"/>
    </row>
    <row r="26" spans="1:14" x14ac:dyDescent="0.25">
      <c r="B26" s="34"/>
      <c r="D26" s="34"/>
      <c r="E26" s="42" t="s">
        <v>18</v>
      </c>
      <c r="F26" s="43"/>
      <c r="G26" s="44">
        <f>+G25/828116</f>
        <v>10452.49</v>
      </c>
      <c r="H26" s="41"/>
    </row>
    <row r="28" spans="1:14" ht="43.5" customHeight="1" x14ac:dyDescent="0.25">
      <c r="B28" s="305" t="s">
        <v>44</v>
      </c>
      <c r="C28" s="305"/>
      <c r="D28" s="305"/>
      <c r="E28" s="305"/>
      <c r="F28" s="305"/>
      <c r="G28" s="305"/>
      <c r="H28" s="306"/>
      <c r="I28" s="306"/>
      <c r="J28" s="306"/>
      <c r="K28" s="306"/>
      <c r="L28" s="306"/>
      <c r="M28" s="306"/>
      <c r="N28" s="306"/>
    </row>
    <row r="29" spans="1:14" ht="31.5" customHeight="1" x14ac:dyDescent="0.25">
      <c r="B29" s="307" t="s">
        <v>45</v>
      </c>
      <c r="C29" s="307"/>
      <c r="D29" s="307"/>
      <c r="E29" s="307"/>
      <c r="F29" s="307"/>
      <c r="G29" s="307"/>
      <c r="H29" s="308"/>
      <c r="I29" s="308"/>
      <c r="J29" s="308"/>
      <c r="K29" s="308"/>
      <c r="L29" s="308"/>
      <c r="M29" s="308"/>
      <c r="N29" s="308"/>
    </row>
    <row r="30" spans="1:14" ht="31.5" customHeight="1" x14ac:dyDescent="0.25">
      <c r="B30" s="307" t="s">
        <v>46</v>
      </c>
      <c r="C30" s="307"/>
      <c r="D30" s="307"/>
      <c r="E30" s="307"/>
      <c r="F30" s="307"/>
      <c r="G30" s="307"/>
      <c r="H30" s="309"/>
      <c r="I30" s="309"/>
      <c r="J30" s="309"/>
      <c r="K30" s="309"/>
      <c r="L30" s="309"/>
      <c r="M30" s="309"/>
      <c r="N30" s="309"/>
    </row>
    <row r="31" spans="1:14" ht="34.5" customHeight="1" x14ac:dyDescent="0.25">
      <c r="B31" s="307" t="s">
        <v>47</v>
      </c>
      <c r="C31" s="310"/>
      <c r="D31" s="310"/>
      <c r="E31" s="310"/>
      <c r="F31" s="310"/>
      <c r="G31" s="310"/>
      <c r="H31" s="309"/>
      <c r="I31" s="309"/>
      <c r="J31" s="309"/>
      <c r="K31" s="309"/>
      <c r="L31" s="309"/>
      <c r="M31" s="309"/>
      <c r="N31" s="309"/>
    </row>
    <row r="32" spans="1:14" ht="34.5" customHeight="1" x14ac:dyDescent="0.25">
      <c r="B32" s="307" t="s">
        <v>48</v>
      </c>
      <c r="C32" s="310"/>
      <c r="D32" s="310"/>
      <c r="E32" s="310"/>
      <c r="F32" s="310"/>
      <c r="G32" s="310"/>
      <c r="H32" s="309"/>
      <c r="I32" s="309"/>
      <c r="J32" s="309"/>
      <c r="K32" s="309"/>
      <c r="L32" s="309"/>
      <c r="M32" s="309"/>
      <c r="N32" s="309"/>
    </row>
    <row r="33" spans="2:10" x14ac:dyDescent="0.25">
      <c r="B33" s="27"/>
      <c r="G33" s="28"/>
    </row>
    <row r="36" spans="2:10" x14ac:dyDescent="0.25">
      <c r="B36" s="311" t="s">
        <v>49</v>
      </c>
      <c r="C36" s="311"/>
      <c r="D36" s="311"/>
    </row>
    <row r="37" spans="2:10" x14ac:dyDescent="0.25">
      <c r="B37" s="20"/>
    </row>
    <row r="42" spans="2:10" x14ac:dyDescent="0.25">
      <c r="H42" s="29"/>
      <c r="I42" s="30"/>
      <c r="J42" s="31"/>
    </row>
    <row r="43" spans="2:10" x14ac:dyDescent="0.25">
      <c r="H43" s="29"/>
      <c r="I43" s="30"/>
      <c r="J43" s="31"/>
    </row>
  </sheetData>
  <mergeCells count="18">
    <mergeCell ref="B31:G31"/>
    <mergeCell ref="H31:N31"/>
    <mergeCell ref="B32:G32"/>
    <mergeCell ref="H32:N32"/>
    <mergeCell ref="B36:D36"/>
    <mergeCell ref="B28:G28"/>
    <mergeCell ref="H28:N28"/>
    <mergeCell ref="B29:G29"/>
    <mergeCell ref="H29:N29"/>
    <mergeCell ref="B30:G30"/>
    <mergeCell ref="H30:N30"/>
    <mergeCell ref="B2:I2"/>
    <mergeCell ref="B3:I3"/>
    <mergeCell ref="B4:I4"/>
    <mergeCell ref="E6:F6"/>
    <mergeCell ref="E7:F8"/>
    <mergeCell ref="G7:G9"/>
    <mergeCell ref="E9:F9"/>
  </mergeCells>
  <pageMargins left="0.7" right="0.7" top="0.75" bottom="0.75" header="0.3" footer="0.3"/>
  <pageSetup scale="41" orientation="portrait" r:id="rId1"/>
  <colBreaks count="1" manualBreakCount="1">
    <brk id="9"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42"/>
  <sheetViews>
    <sheetView view="pageBreakPreview" topLeftCell="A9" zoomScale="60" zoomScaleNormal="100" workbookViewId="0">
      <selection activeCell="H20" sqref="H20"/>
    </sheetView>
  </sheetViews>
  <sheetFormatPr baseColWidth="10" defaultColWidth="11.42578125" defaultRowHeight="15" x14ac:dyDescent="0.25"/>
  <cols>
    <col min="1" max="1" width="7.5703125" style="20" customWidth="1"/>
    <col min="2" max="2" width="25.5703125" style="22" customWidth="1"/>
    <col min="3" max="3" width="30" style="22" customWidth="1"/>
    <col min="4" max="4" width="18.7109375" style="20" customWidth="1"/>
    <col min="5" max="5" width="15.5703125" style="20" customWidth="1"/>
    <col min="6" max="6" width="25.140625" style="20" customWidth="1"/>
    <col min="7" max="7" width="34" style="20" bestFit="1" customWidth="1"/>
    <col min="8" max="8" width="17.5703125" style="20" customWidth="1"/>
    <col min="9" max="9" width="50.28515625" style="20" customWidth="1"/>
    <col min="10" max="10" width="11.42578125" style="20"/>
    <col min="11" max="11" width="12.28515625" style="20" bestFit="1" customWidth="1"/>
    <col min="12" max="12" width="11.42578125" style="20"/>
    <col min="13" max="13" width="10.85546875" style="20" bestFit="1" customWidth="1"/>
    <col min="14" max="14" width="6.28515625" style="20" customWidth="1"/>
    <col min="15" max="16384" width="11.42578125" style="20"/>
  </cols>
  <sheetData>
    <row r="2" spans="2:9" ht="23.25" x14ac:dyDescent="0.25">
      <c r="B2" s="293" t="s">
        <v>26</v>
      </c>
      <c r="C2" s="293"/>
      <c r="D2" s="293"/>
      <c r="E2" s="293"/>
      <c r="F2" s="293"/>
      <c r="G2" s="293"/>
      <c r="H2" s="293"/>
      <c r="I2" s="293"/>
    </row>
    <row r="3" spans="2:9" ht="23.25" x14ac:dyDescent="0.25">
      <c r="B3" s="293" t="s">
        <v>37</v>
      </c>
      <c r="C3" s="293"/>
      <c r="D3" s="293"/>
      <c r="E3" s="293"/>
      <c r="F3" s="293"/>
      <c r="G3" s="293"/>
      <c r="H3" s="293"/>
      <c r="I3" s="293"/>
    </row>
    <row r="4" spans="2:9" ht="23.25" x14ac:dyDescent="0.25">
      <c r="B4" s="293" t="s">
        <v>27</v>
      </c>
      <c r="C4" s="293"/>
      <c r="D4" s="293"/>
      <c r="E4" s="293"/>
      <c r="F4" s="293"/>
      <c r="G4" s="293"/>
      <c r="H4" s="293"/>
      <c r="I4" s="293"/>
    </row>
    <row r="5" spans="2:9" ht="15.75" thickBot="1" x14ac:dyDescent="0.3"/>
    <row r="6" spans="2:9" ht="90" customHeight="1" x14ac:dyDescent="0.25">
      <c r="B6" s="63" t="s">
        <v>435</v>
      </c>
      <c r="C6" s="124" t="s">
        <v>436</v>
      </c>
      <c r="D6" s="66" t="s">
        <v>50</v>
      </c>
      <c r="E6" s="294" t="s">
        <v>52</v>
      </c>
      <c r="F6" s="295"/>
      <c r="G6" s="45" t="s">
        <v>0</v>
      </c>
      <c r="H6" s="109"/>
      <c r="I6" s="109"/>
    </row>
    <row r="7" spans="2:9" ht="34.5" customHeight="1" x14ac:dyDescent="0.25">
      <c r="B7" s="64"/>
      <c r="C7" s="67" t="s">
        <v>437</v>
      </c>
      <c r="D7" s="68">
        <v>1</v>
      </c>
      <c r="E7" s="296" t="s">
        <v>53</v>
      </c>
      <c r="F7" s="297"/>
      <c r="G7" s="300" t="s">
        <v>1</v>
      </c>
      <c r="H7" s="33"/>
      <c r="I7" s="34"/>
    </row>
    <row r="8" spans="2:9" ht="39.75" customHeight="1" thickBot="1" x14ac:dyDescent="0.3">
      <c r="B8" s="65"/>
      <c r="C8" s="69"/>
      <c r="D8" s="125"/>
      <c r="E8" s="303" t="s">
        <v>51</v>
      </c>
      <c r="F8" s="304"/>
      <c r="G8" s="302"/>
      <c r="H8" s="35"/>
      <c r="I8" s="34"/>
    </row>
    <row r="10" spans="2:9" x14ac:dyDescent="0.25">
      <c r="B10" s="21" t="s">
        <v>28</v>
      </c>
      <c r="C10" s="32" t="s">
        <v>29</v>
      </c>
      <c r="D10" s="32" t="s">
        <v>18</v>
      </c>
      <c r="E10" s="32" t="s">
        <v>0</v>
      </c>
    </row>
    <row r="11" spans="2:9" x14ac:dyDescent="0.25">
      <c r="B11" s="36" t="s">
        <v>30</v>
      </c>
      <c r="C11" s="37">
        <v>5437884572</v>
      </c>
      <c r="D11" s="38">
        <f>+C11/828116</f>
        <v>6566.5734897043412</v>
      </c>
      <c r="E11" s="38"/>
    </row>
    <row r="12" spans="2:9" x14ac:dyDescent="0.25">
      <c r="B12" s="36" t="s">
        <v>38</v>
      </c>
      <c r="C12" s="37">
        <f>+C11*0.75</f>
        <v>4078413429</v>
      </c>
      <c r="D12" s="38">
        <f>+C12/828116</f>
        <v>4924.9301172782561</v>
      </c>
      <c r="E12" s="38" t="s">
        <v>0</v>
      </c>
    </row>
    <row r="13" spans="2:9" x14ac:dyDescent="0.25">
      <c r="B13" s="36" t="s">
        <v>39</v>
      </c>
      <c r="C13" s="37">
        <f>+C11*1.2</f>
        <v>6525461486.3999996</v>
      </c>
      <c r="D13" s="38">
        <f>+C13/828116</f>
        <v>7879.8881876452087</v>
      </c>
      <c r="E13" s="38"/>
    </row>
    <row r="14" spans="2:9" x14ac:dyDescent="0.25">
      <c r="B14" s="36" t="s">
        <v>40</v>
      </c>
      <c r="C14" s="37">
        <f>+C11*1.5</f>
        <v>8156826858</v>
      </c>
      <c r="D14" s="38">
        <f>+C14/828116</f>
        <v>9849.8602345565123</v>
      </c>
      <c r="E14" s="38"/>
    </row>
    <row r="16" spans="2:9" x14ac:dyDescent="0.25">
      <c r="B16" s="23" t="s">
        <v>31</v>
      </c>
      <c r="C16" s="23"/>
      <c r="D16" s="23"/>
    </row>
    <row r="17" spans="1:14" ht="30" x14ac:dyDescent="0.25">
      <c r="B17" s="32" t="s">
        <v>32</v>
      </c>
      <c r="C17" s="21" t="s">
        <v>33</v>
      </c>
      <c r="D17" s="32" t="s">
        <v>34</v>
      </c>
      <c r="E17" s="21" t="s">
        <v>54</v>
      </c>
      <c r="F17" s="21" t="s">
        <v>41</v>
      </c>
      <c r="G17" s="21" t="s">
        <v>42</v>
      </c>
      <c r="H17" s="21" t="s">
        <v>43</v>
      </c>
      <c r="I17" s="32" t="s">
        <v>17</v>
      </c>
    </row>
    <row r="18" spans="1:14" ht="65.099999999999994" customHeight="1" x14ac:dyDescent="0.25">
      <c r="A18" s="32">
        <v>1</v>
      </c>
      <c r="B18" s="201" t="s">
        <v>438</v>
      </c>
      <c r="C18" s="202" t="s">
        <v>439</v>
      </c>
      <c r="D18" s="203">
        <v>86</v>
      </c>
      <c r="E18" s="94" t="s">
        <v>0</v>
      </c>
      <c r="F18" s="127">
        <v>3415</v>
      </c>
      <c r="G18" s="97">
        <f>+F18*828116</f>
        <v>2828016140</v>
      </c>
      <c r="H18" s="98" t="s">
        <v>241</v>
      </c>
      <c r="I18" s="99" t="s">
        <v>0</v>
      </c>
      <c r="J18" s="20">
        <v>20</v>
      </c>
    </row>
    <row r="19" spans="1:14" ht="65.099999999999994" customHeight="1" x14ac:dyDescent="0.25">
      <c r="A19" s="32">
        <v>2</v>
      </c>
      <c r="B19" s="201" t="s">
        <v>440</v>
      </c>
      <c r="C19" s="202" t="s">
        <v>439</v>
      </c>
      <c r="D19" s="203">
        <v>125</v>
      </c>
      <c r="E19" s="94" t="s">
        <v>0</v>
      </c>
      <c r="F19" s="127">
        <v>5296</v>
      </c>
      <c r="G19" s="97">
        <f t="shared" ref="G19:G20" si="0">+F19*828116</f>
        <v>4385702336</v>
      </c>
      <c r="H19" s="98" t="s">
        <v>241</v>
      </c>
      <c r="I19" s="99" t="s">
        <v>0</v>
      </c>
      <c r="J19" s="20">
        <v>20</v>
      </c>
    </row>
    <row r="20" spans="1:14" ht="65.099999999999994" customHeight="1" x14ac:dyDescent="0.25">
      <c r="A20" s="32" t="s">
        <v>396</v>
      </c>
      <c r="B20" s="94" t="s">
        <v>396</v>
      </c>
      <c r="C20" s="94" t="s">
        <v>396</v>
      </c>
      <c r="D20" s="146" t="s">
        <v>396</v>
      </c>
      <c r="E20" s="94" t="s">
        <v>396</v>
      </c>
      <c r="F20" s="127">
        <v>0</v>
      </c>
      <c r="G20" s="97">
        <f t="shared" si="0"/>
        <v>0</v>
      </c>
      <c r="H20" s="98" t="s">
        <v>396</v>
      </c>
      <c r="I20" s="99" t="s">
        <v>396</v>
      </c>
    </row>
    <row r="21" spans="1:14" ht="65.099999999999994" customHeight="1" x14ac:dyDescent="0.25">
      <c r="A21" s="32" t="s">
        <v>396</v>
      </c>
      <c r="B21" s="94" t="s">
        <v>396</v>
      </c>
      <c r="C21" s="94" t="s">
        <v>396</v>
      </c>
      <c r="D21" s="94" t="s">
        <v>396</v>
      </c>
      <c r="E21" s="94" t="s">
        <v>396</v>
      </c>
      <c r="F21" s="127">
        <v>0</v>
      </c>
      <c r="G21" s="97">
        <v>0</v>
      </c>
      <c r="H21" s="98" t="s">
        <v>396</v>
      </c>
      <c r="I21" s="99" t="s">
        <v>396</v>
      </c>
    </row>
    <row r="22" spans="1:14" ht="65.099999999999994" customHeight="1" x14ac:dyDescent="0.25">
      <c r="A22" s="32">
        <v>5</v>
      </c>
      <c r="B22" s="2"/>
      <c r="C22" s="2"/>
      <c r="D22" s="2"/>
      <c r="E22" s="2"/>
      <c r="F22" s="130"/>
      <c r="G22" s="131"/>
      <c r="H22" s="24"/>
      <c r="I22" s="132"/>
    </row>
    <row r="23" spans="1:14" ht="65.099999999999994" customHeight="1" x14ac:dyDescent="0.25">
      <c r="A23" s="32">
        <v>6</v>
      </c>
      <c r="B23" s="2"/>
      <c r="C23" s="2"/>
      <c r="D23" s="2"/>
      <c r="E23" s="2"/>
      <c r="F23" s="130"/>
      <c r="G23" s="131"/>
      <c r="H23" s="24"/>
      <c r="I23" s="132"/>
    </row>
    <row r="24" spans="1:14" x14ac:dyDescent="0.25">
      <c r="B24" s="2"/>
      <c r="D24" s="2"/>
      <c r="E24" s="32" t="s">
        <v>35</v>
      </c>
      <c r="F24" s="25">
        <f>SUM(F18:F23)</f>
        <v>8711</v>
      </c>
      <c r="G24" s="40">
        <f>SUM(G18:G23)</f>
        <v>7213718476</v>
      </c>
      <c r="H24" s="26"/>
    </row>
    <row r="25" spans="1:14" x14ac:dyDescent="0.25">
      <c r="B25" s="34"/>
      <c r="D25" s="34"/>
      <c r="E25" s="42" t="s">
        <v>18</v>
      </c>
      <c r="F25" s="43"/>
      <c r="G25" s="44">
        <f>+G24/828116</f>
        <v>8711</v>
      </c>
      <c r="H25" s="41"/>
    </row>
    <row r="27" spans="1:14" ht="43.5" customHeight="1" x14ac:dyDescent="0.25">
      <c r="B27" s="305" t="s">
        <v>44</v>
      </c>
      <c r="C27" s="305"/>
      <c r="D27" s="305"/>
      <c r="E27" s="305"/>
      <c r="F27" s="305"/>
      <c r="G27" s="305"/>
      <c r="H27" s="306"/>
      <c r="I27" s="306"/>
      <c r="J27" s="306"/>
      <c r="K27" s="306"/>
      <c r="L27" s="306"/>
      <c r="M27" s="306"/>
      <c r="N27" s="306"/>
    </row>
    <row r="28" spans="1:14" ht="31.5" customHeight="1" x14ac:dyDescent="0.25">
      <c r="B28" s="307" t="s">
        <v>45</v>
      </c>
      <c r="C28" s="307"/>
      <c r="D28" s="307"/>
      <c r="E28" s="307"/>
      <c r="F28" s="307"/>
      <c r="G28" s="307"/>
      <c r="H28" s="308"/>
      <c r="I28" s="308"/>
      <c r="J28" s="308"/>
      <c r="K28" s="308"/>
      <c r="L28" s="308"/>
      <c r="M28" s="308"/>
      <c r="N28" s="308"/>
    </row>
    <row r="29" spans="1:14" ht="31.5" customHeight="1" x14ac:dyDescent="0.25">
      <c r="B29" s="307" t="s">
        <v>46</v>
      </c>
      <c r="C29" s="307"/>
      <c r="D29" s="307"/>
      <c r="E29" s="307"/>
      <c r="F29" s="307"/>
      <c r="G29" s="307"/>
      <c r="H29" s="309"/>
      <c r="I29" s="309"/>
      <c r="J29" s="309"/>
      <c r="K29" s="309"/>
      <c r="L29" s="309"/>
      <c r="M29" s="309"/>
      <c r="N29" s="309"/>
    </row>
    <row r="30" spans="1:14" ht="34.5" customHeight="1" x14ac:dyDescent="0.25">
      <c r="B30" s="307" t="s">
        <v>47</v>
      </c>
      <c r="C30" s="310"/>
      <c r="D30" s="310"/>
      <c r="E30" s="310"/>
      <c r="F30" s="310"/>
      <c r="G30" s="310"/>
      <c r="H30" s="309"/>
      <c r="I30" s="309"/>
      <c r="J30" s="309"/>
      <c r="K30" s="309"/>
      <c r="L30" s="309"/>
      <c r="M30" s="309"/>
      <c r="N30" s="309"/>
    </row>
    <row r="31" spans="1:14" ht="34.5" customHeight="1" x14ac:dyDescent="0.25">
      <c r="B31" s="307" t="s">
        <v>48</v>
      </c>
      <c r="C31" s="310"/>
      <c r="D31" s="310"/>
      <c r="E31" s="310"/>
      <c r="F31" s="310"/>
      <c r="G31" s="310"/>
      <c r="H31" s="309"/>
      <c r="I31" s="309"/>
      <c r="J31" s="309"/>
      <c r="K31" s="309"/>
      <c r="L31" s="309"/>
      <c r="M31" s="309"/>
      <c r="N31" s="309"/>
    </row>
    <row r="32" spans="1:14" x14ac:dyDescent="0.25">
      <c r="B32" s="27"/>
      <c r="G32" s="28"/>
    </row>
    <row r="35" spans="2:10" x14ac:dyDescent="0.25">
      <c r="B35" s="311" t="s">
        <v>49</v>
      </c>
      <c r="C35" s="311"/>
      <c r="D35" s="311"/>
    </row>
    <row r="36" spans="2:10" x14ac:dyDescent="0.25">
      <c r="B36" s="20"/>
    </row>
    <row r="41" spans="2:10" x14ac:dyDescent="0.25">
      <c r="H41" s="29"/>
      <c r="I41" s="30"/>
      <c r="J41" s="31"/>
    </row>
    <row r="42" spans="2:10" x14ac:dyDescent="0.25">
      <c r="H42" s="29"/>
      <c r="I42" s="30"/>
      <c r="J42" s="31"/>
    </row>
  </sheetData>
  <mergeCells count="18">
    <mergeCell ref="B2:I2"/>
    <mergeCell ref="B3:I3"/>
    <mergeCell ref="B4:I4"/>
    <mergeCell ref="E6:F6"/>
    <mergeCell ref="E7:F7"/>
    <mergeCell ref="G7:G8"/>
    <mergeCell ref="E8:F8"/>
    <mergeCell ref="B27:G27"/>
    <mergeCell ref="H27:N27"/>
    <mergeCell ref="B28:G28"/>
    <mergeCell ref="H28:N28"/>
    <mergeCell ref="B29:G29"/>
    <mergeCell ref="H29:N29"/>
    <mergeCell ref="B30:G30"/>
    <mergeCell ref="H30:N30"/>
    <mergeCell ref="B31:G31"/>
    <mergeCell ref="H31:N31"/>
    <mergeCell ref="B35:D35"/>
  </mergeCells>
  <pageMargins left="0.7" right="0.7" top="0.75" bottom="0.75" header="0.3" footer="0.3"/>
  <pageSetup scale="40" orientation="portrait" r:id="rId1"/>
  <colBreaks count="1" manualBreakCount="1">
    <brk id="9"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42"/>
  <sheetViews>
    <sheetView view="pageBreakPreview" topLeftCell="A8" zoomScale="60" zoomScaleNormal="60" workbookViewId="0">
      <selection activeCell="H20" sqref="H20"/>
    </sheetView>
  </sheetViews>
  <sheetFormatPr baseColWidth="10" defaultColWidth="11.42578125" defaultRowHeight="15" x14ac:dyDescent="0.25"/>
  <cols>
    <col min="1" max="1" width="7.5703125" style="20" customWidth="1"/>
    <col min="2" max="2" width="25.5703125" style="22" customWidth="1"/>
    <col min="3" max="3" width="30" style="22" customWidth="1"/>
    <col min="4" max="4" width="18.7109375" style="20" customWidth="1"/>
    <col min="5" max="5" width="15.5703125" style="20" customWidth="1"/>
    <col min="6" max="6" width="25.140625" style="20" customWidth="1"/>
    <col min="7" max="7" width="25" style="20" customWidth="1"/>
    <col min="8" max="8" width="17.5703125" style="20" customWidth="1"/>
    <col min="9" max="9" width="50.28515625" style="20" customWidth="1"/>
    <col min="10" max="10" width="11.42578125" style="20"/>
    <col min="11" max="11" width="12.28515625" style="20" bestFit="1" customWidth="1"/>
    <col min="12" max="12" width="11.42578125" style="20"/>
    <col min="13" max="13" width="10.85546875" style="20" bestFit="1" customWidth="1"/>
    <col min="14" max="14" width="6.28515625" style="20" customWidth="1"/>
    <col min="15" max="16384" width="11.42578125" style="20"/>
  </cols>
  <sheetData>
    <row r="2" spans="2:9" ht="23.25" x14ac:dyDescent="0.25">
      <c r="B2" s="293" t="s">
        <v>26</v>
      </c>
      <c r="C2" s="293"/>
      <c r="D2" s="293"/>
      <c r="E2" s="293"/>
      <c r="F2" s="293"/>
      <c r="G2" s="293"/>
      <c r="H2" s="293"/>
      <c r="I2" s="293"/>
    </row>
    <row r="3" spans="2:9" ht="23.25" x14ac:dyDescent="0.25">
      <c r="B3" s="293" t="s">
        <v>37</v>
      </c>
      <c r="C3" s="293"/>
      <c r="D3" s="293"/>
      <c r="E3" s="293"/>
      <c r="F3" s="293"/>
      <c r="G3" s="293"/>
      <c r="H3" s="293"/>
      <c r="I3" s="293"/>
    </row>
    <row r="4" spans="2:9" ht="23.25" x14ac:dyDescent="0.25">
      <c r="B4" s="293" t="s">
        <v>27</v>
      </c>
      <c r="C4" s="293"/>
      <c r="D4" s="293"/>
      <c r="E4" s="293"/>
      <c r="F4" s="293"/>
      <c r="G4" s="293"/>
      <c r="H4" s="293"/>
      <c r="I4" s="293"/>
    </row>
    <row r="5" spans="2:9" ht="15.75" thickBot="1" x14ac:dyDescent="0.3"/>
    <row r="6" spans="2:9" ht="90" customHeight="1" x14ac:dyDescent="0.25">
      <c r="B6" s="63" t="s">
        <v>441</v>
      </c>
      <c r="C6" s="204" t="s">
        <v>442</v>
      </c>
      <c r="D6" s="66" t="s">
        <v>50</v>
      </c>
      <c r="E6" s="294" t="s">
        <v>52</v>
      </c>
      <c r="F6" s="295"/>
      <c r="G6" s="45" t="s">
        <v>0</v>
      </c>
      <c r="H6" s="109"/>
      <c r="I6" s="109"/>
    </row>
    <row r="7" spans="2:9" ht="34.5" customHeight="1" x14ac:dyDescent="0.25">
      <c r="B7" s="64"/>
      <c r="C7" s="205" t="s">
        <v>443</v>
      </c>
      <c r="D7" s="68">
        <v>0.6</v>
      </c>
      <c r="E7" s="296" t="s">
        <v>53</v>
      </c>
      <c r="F7" s="297"/>
      <c r="G7" s="300" t="s">
        <v>1</v>
      </c>
      <c r="H7" s="33"/>
      <c r="I7" s="34"/>
    </row>
    <row r="8" spans="2:9" ht="39.75" customHeight="1" thickBot="1" x14ac:dyDescent="0.3">
      <c r="B8" s="65"/>
      <c r="C8" s="206" t="s">
        <v>444</v>
      </c>
      <c r="D8" s="68">
        <v>0.4</v>
      </c>
      <c r="E8" s="303" t="s">
        <v>51</v>
      </c>
      <c r="F8" s="304"/>
      <c r="G8" s="302"/>
      <c r="H8" s="35"/>
      <c r="I8" s="34"/>
    </row>
    <row r="10" spans="2:9" x14ac:dyDescent="0.25">
      <c r="B10" s="21" t="s">
        <v>28</v>
      </c>
      <c r="C10" s="32" t="s">
        <v>29</v>
      </c>
      <c r="D10" s="32" t="s">
        <v>18</v>
      </c>
      <c r="E10" s="32" t="s">
        <v>0</v>
      </c>
    </row>
    <row r="11" spans="2:9" x14ac:dyDescent="0.25">
      <c r="B11" s="36" t="s">
        <v>30</v>
      </c>
      <c r="C11" s="37">
        <v>5437884572</v>
      </c>
      <c r="D11" s="38">
        <f>+C11/828116</f>
        <v>6566.5734897043412</v>
      </c>
      <c r="E11" s="38"/>
    </row>
    <row r="12" spans="2:9" x14ac:dyDescent="0.25">
      <c r="B12" s="36" t="s">
        <v>38</v>
      </c>
      <c r="C12" s="37">
        <f>+C11*0.75</f>
        <v>4078413429</v>
      </c>
      <c r="D12" s="38">
        <f>+C12/828116</f>
        <v>4924.9301172782561</v>
      </c>
      <c r="E12" s="38" t="s">
        <v>0</v>
      </c>
    </row>
    <row r="13" spans="2:9" x14ac:dyDescent="0.25">
      <c r="B13" s="36" t="s">
        <v>39</v>
      </c>
      <c r="C13" s="37">
        <f>+C11*1.2</f>
        <v>6525461486.3999996</v>
      </c>
      <c r="D13" s="38">
        <f>+C13/828116</f>
        <v>7879.8881876452087</v>
      </c>
      <c r="E13" s="38"/>
    </row>
    <row r="14" spans="2:9" x14ac:dyDescent="0.25">
      <c r="B14" s="36" t="s">
        <v>245</v>
      </c>
      <c r="C14" s="37">
        <f>+C11*1.5</f>
        <v>8156826858</v>
      </c>
      <c r="D14" s="38">
        <f>+C14/828116</f>
        <v>9849.8602345565123</v>
      </c>
      <c r="E14" s="38"/>
    </row>
    <row r="16" spans="2:9" x14ac:dyDescent="0.25">
      <c r="B16" s="23" t="s">
        <v>31</v>
      </c>
      <c r="C16" s="23"/>
      <c r="D16" s="23"/>
    </row>
    <row r="17" spans="1:14" ht="30" x14ac:dyDescent="0.25">
      <c r="B17" s="32" t="s">
        <v>32</v>
      </c>
      <c r="C17" s="21" t="s">
        <v>33</v>
      </c>
      <c r="D17" s="32" t="s">
        <v>34</v>
      </c>
      <c r="E17" s="21" t="s">
        <v>54</v>
      </c>
      <c r="F17" s="21" t="s">
        <v>41</v>
      </c>
      <c r="G17" s="21" t="s">
        <v>42</v>
      </c>
      <c r="H17" s="21" t="s">
        <v>43</v>
      </c>
      <c r="I17" s="32" t="s">
        <v>17</v>
      </c>
    </row>
    <row r="18" spans="1:14" ht="65.099999999999994" customHeight="1" x14ac:dyDescent="0.25">
      <c r="A18" s="32">
        <v>1</v>
      </c>
      <c r="B18" s="201" t="s">
        <v>445</v>
      </c>
      <c r="C18" s="207" t="s">
        <v>446</v>
      </c>
      <c r="D18" s="203">
        <v>28</v>
      </c>
      <c r="E18" s="94" t="s">
        <v>0</v>
      </c>
      <c r="F18" s="127">
        <v>6308.64</v>
      </c>
      <c r="G18" s="97">
        <f>+F18*828116</f>
        <v>5224285722.2400007</v>
      </c>
      <c r="H18" s="98" t="s">
        <v>241</v>
      </c>
      <c r="I18" s="99" t="s">
        <v>0</v>
      </c>
      <c r="J18" s="207">
        <v>0.5</v>
      </c>
    </row>
    <row r="19" spans="1:14" ht="65.099999999999994" customHeight="1" x14ac:dyDescent="0.25">
      <c r="A19" s="32">
        <v>2</v>
      </c>
      <c r="B19" s="201" t="s">
        <v>447</v>
      </c>
      <c r="C19" s="207" t="s">
        <v>448</v>
      </c>
      <c r="D19" s="203">
        <v>30</v>
      </c>
      <c r="E19" s="94" t="s">
        <v>0</v>
      </c>
      <c r="F19" s="127">
        <v>2642.96</v>
      </c>
      <c r="G19" s="97">
        <f t="shared" ref="G19:G20" si="0">+F19*828116</f>
        <v>2188677463.3600001</v>
      </c>
      <c r="H19" s="98" t="s">
        <v>241</v>
      </c>
      <c r="I19" s="99" t="s">
        <v>0</v>
      </c>
      <c r="J19" s="207">
        <v>0.3</v>
      </c>
    </row>
    <row r="20" spans="1:14" ht="65.099999999999994" customHeight="1" x14ac:dyDescent="0.25">
      <c r="A20" s="32" t="s">
        <v>396</v>
      </c>
      <c r="B20" s="94" t="s">
        <v>396</v>
      </c>
      <c r="C20" s="94" t="s">
        <v>396</v>
      </c>
      <c r="D20" s="146" t="s">
        <v>396</v>
      </c>
      <c r="E20" s="94" t="s">
        <v>396</v>
      </c>
      <c r="F20" s="127">
        <v>0</v>
      </c>
      <c r="G20" s="97">
        <f t="shared" si="0"/>
        <v>0</v>
      </c>
      <c r="H20" s="98" t="s">
        <v>396</v>
      </c>
      <c r="I20" s="99" t="s">
        <v>396</v>
      </c>
    </row>
    <row r="21" spans="1:14" ht="65.099999999999994" customHeight="1" x14ac:dyDescent="0.25">
      <c r="A21" s="32" t="s">
        <v>396</v>
      </c>
      <c r="B21" s="94" t="s">
        <v>396</v>
      </c>
      <c r="C21" s="94" t="s">
        <v>396</v>
      </c>
      <c r="D21" s="94" t="s">
        <v>396</v>
      </c>
      <c r="E21" s="94" t="s">
        <v>396</v>
      </c>
      <c r="F21" s="127">
        <v>0</v>
      </c>
      <c r="G21" s="97">
        <v>0</v>
      </c>
      <c r="H21" s="98" t="s">
        <v>396</v>
      </c>
      <c r="I21" s="99" t="s">
        <v>396</v>
      </c>
    </row>
    <row r="22" spans="1:14" ht="65.099999999999994" customHeight="1" x14ac:dyDescent="0.25">
      <c r="A22" s="32">
        <v>5</v>
      </c>
      <c r="B22" s="2"/>
      <c r="C22" s="2"/>
      <c r="D22" s="2"/>
      <c r="E22" s="2"/>
      <c r="F22" s="130"/>
      <c r="G22" s="131"/>
      <c r="H22" s="24"/>
      <c r="I22" s="132"/>
    </row>
    <row r="23" spans="1:14" ht="65.099999999999994" customHeight="1" x14ac:dyDescent="0.25">
      <c r="A23" s="32">
        <v>6</v>
      </c>
      <c r="B23" s="2"/>
      <c r="C23" s="2"/>
      <c r="D23" s="2"/>
      <c r="E23" s="2"/>
      <c r="F23" s="130"/>
      <c r="G23" s="131"/>
      <c r="H23" s="24"/>
      <c r="I23" s="132"/>
    </row>
    <row r="24" spans="1:14" x14ac:dyDescent="0.25">
      <c r="B24" s="2"/>
      <c r="D24" s="2"/>
      <c r="E24" s="32" t="s">
        <v>35</v>
      </c>
      <c r="F24" s="25">
        <f>SUM(F18:F23)</f>
        <v>8951.6</v>
      </c>
      <c r="G24" s="40">
        <f>SUM(G18:G23)</f>
        <v>7412963185.6000004</v>
      </c>
      <c r="H24" s="26"/>
    </row>
    <row r="25" spans="1:14" x14ac:dyDescent="0.25">
      <c r="B25" s="34"/>
      <c r="D25" s="34"/>
      <c r="E25" s="42" t="s">
        <v>18</v>
      </c>
      <c r="F25" s="43"/>
      <c r="G25" s="44">
        <f>+G24/828116</f>
        <v>8951.6</v>
      </c>
      <c r="H25" s="41"/>
    </row>
    <row r="27" spans="1:14" ht="43.5" customHeight="1" x14ac:dyDescent="0.25">
      <c r="B27" s="305" t="s">
        <v>44</v>
      </c>
      <c r="C27" s="305"/>
      <c r="D27" s="305"/>
      <c r="E27" s="305"/>
      <c r="F27" s="305"/>
      <c r="G27" s="305"/>
      <c r="H27" s="306"/>
      <c r="I27" s="306"/>
      <c r="J27" s="306"/>
      <c r="K27" s="306"/>
      <c r="L27" s="306"/>
      <c r="M27" s="306"/>
      <c r="N27" s="306"/>
    </row>
    <row r="28" spans="1:14" ht="31.5" customHeight="1" x14ac:dyDescent="0.25">
      <c r="B28" s="307" t="s">
        <v>45</v>
      </c>
      <c r="C28" s="307"/>
      <c r="D28" s="307"/>
      <c r="E28" s="307"/>
      <c r="F28" s="307"/>
      <c r="G28" s="307"/>
      <c r="H28" s="308"/>
      <c r="I28" s="308"/>
      <c r="J28" s="308"/>
      <c r="K28" s="308"/>
      <c r="L28" s="308"/>
      <c r="M28" s="308"/>
      <c r="N28" s="308"/>
    </row>
    <row r="29" spans="1:14" ht="31.5" customHeight="1" x14ac:dyDescent="0.25">
      <c r="B29" s="307" t="s">
        <v>46</v>
      </c>
      <c r="C29" s="307"/>
      <c r="D29" s="307"/>
      <c r="E29" s="307"/>
      <c r="F29" s="307"/>
      <c r="G29" s="307"/>
      <c r="H29" s="309"/>
      <c r="I29" s="309"/>
      <c r="J29" s="309"/>
      <c r="K29" s="309"/>
      <c r="L29" s="309"/>
      <c r="M29" s="309"/>
      <c r="N29" s="309"/>
    </row>
    <row r="30" spans="1:14" ht="34.5" customHeight="1" x14ac:dyDescent="0.25">
      <c r="B30" s="307" t="s">
        <v>47</v>
      </c>
      <c r="C30" s="310"/>
      <c r="D30" s="310"/>
      <c r="E30" s="310"/>
      <c r="F30" s="310"/>
      <c r="G30" s="310"/>
      <c r="H30" s="309"/>
      <c r="I30" s="309"/>
      <c r="J30" s="309"/>
      <c r="K30" s="309"/>
      <c r="L30" s="309"/>
      <c r="M30" s="309"/>
      <c r="N30" s="309"/>
    </row>
    <row r="31" spans="1:14" ht="34.5" customHeight="1" x14ac:dyDescent="0.25">
      <c r="B31" s="307" t="s">
        <v>48</v>
      </c>
      <c r="C31" s="310"/>
      <c r="D31" s="310"/>
      <c r="E31" s="310"/>
      <c r="F31" s="310"/>
      <c r="G31" s="310"/>
      <c r="H31" s="309"/>
      <c r="I31" s="309"/>
      <c r="J31" s="309"/>
      <c r="K31" s="309"/>
      <c r="L31" s="309"/>
      <c r="M31" s="309"/>
      <c r="N31" s="309"/>
    </row>
    <row r="32" spans="1:14" x14ac:dyDescent="0.25">
      <c r="B32" s="27"/>
      <c r="G32" s="28"/>
    </row>
    <row r="35" spans="2:10" x14ac:dyDescent="0.25">
      <c r="B35" s="311" t="s">
        <v>49</v>
      </c>
      <c r="C35" s="311"/>
      <c r="D35" s="311"/>
    </row>
    <row r="36" spans="2:10" x14ac:dyDescent="0.25">
      <c r="B36" s="20"/>
    </row>
    <row r="41" spans="2:10" x14ac:dyDescent="0.25">
      <c r="H41" s="29"/>
      <c r="I41" s="30"/>
      <c r="J41" s="31"/>
    </row>
    <row r="42" spans="2:10" x14ac:dyDescent="0.25">
      <c r="H42" s="29"/>
      <c r="I42" s="30"/>
      <c r="J42" s="31"/>
    </row>
  </sheetData>
  <mergeCells count="18">
    <mergeCell ref="B2:I2"/>
    <mergeCell ref="B3:I3"/>
    <mergeCell ref="B4:I4"/>
    <mergeCell ref="E6:F6"/>
    <mergeCell ref="E7:F7"/>
    <mergeCell ref="G7:G8"/>
    <mergeCell ref="E8:F8"/>
    <mergeCell ref="B27:G27"/>
    <mergeCell ref="H27:N27"/>
    <mergeCell ref="B28:G28"/>
    <mergeCell ref="H28:N28"/>
    <mergeCell ref="B29:G29"/>
    <mergeCell ref="H29:N29"/>
    <mergeCell ref="B30:G30"/>
    <mergeCell ref="H30:N30"/>
    <mergeCell ref="B31:G31"/>
    <mergeCell ref="H31:N31"/>
    <mergeCell ref="B35:D35"/>
  </mergeCells>
  <pageMargins left="0.7" right="0.7" top="0.75" bottom="0.75" header="0.3" footer="0.3"/>
  <pageSetup scale="41" orientation="portrait" r:id="rId1"/>
  <colBreaks count="1" manualBreakCount="1">
    <brk id="9"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R42"/>
  <sheetViews>
    <sheetView view="pageBreakPreview" topLeftCell="A8" zoomScale="60" zoomScaleNormal="80" workbookViewId="0">
      <selection activeCell="B38" sqref="B38:B43"/>
    </sheetView>
  </sheetViews>
  <sheetFormatPr baseColWidth="10" defaultColWidth="11.42578125" defaultRowHeight="15" x14ac:dyDescent="0.25"/>
  <cols>
    <col min="1" max="1" width="7.5703125" style="20" customWidth="1"/>
    <col min="2" max="2" width="25.5703125" style="22" customWidth="1"/>
    <col min="3" max="3" width="30" style="22" customWidth="1"/>
    <col min="4" max="4" width="18.7109375" style="20" customWidth="1"/>
    <col min="5" max="5" width="15.5703125" style="20" customWidth="1"/>
    <col min="6" max="6" width="25.140625" style="20" customWidth="1"/>
    <col min="7" max="7" width="40.140625" style="20" bestFit="1" customWidth="1"/>
    <col min="8" max="8" width="17.5703125" style="20" customWidth="1"/>
    <col min="9" max="9" width="50.28515625" style="20" customWidth="1"/>
    <col min="10" max="10" width="11.42578125" style="20"/>
    <col min="11" max="11" width="12.28515625" style="20" bestFit="1" customWidth="1"/>
    <col min="12" max="12" width="11.42578125" style="20"/>
    <col min="13" max="13" width="10.85546875" style="20" bestFit="1" customWidth="1"/>
    <col min="14" max="14" width="6.28515625" style="20" customWidth="1"/>
    <col min="15" max="17" width="11.42578125" style="20"/>
    <col min="18" max="18" width="22.7109375" style="20" customWidth="1"/>
    <col min="19" max="16384" width="11.42578125" style="20"/>
  </cols>
  <sheetData>
    <row r="2" spans="2:9" ht="23.25" x14ac:dyDescent="0.25">
      <c r="B2" s="293" t="s">
        <v>26</v>
      </c>
      <c r="C2" s="293"/>
      <c r="D2" s="293"/>
      <c r="E2" s="293"/>
      <c r="F2" s="293"/>
      <c r="G2" s="293"/>
      <c r="H2" s="293"/>
      <c r="I2" s="293"/>
    </row>
    <row r="3" spans="2:9" ht="23.25" x14ac:dyDescent="0.25">
      <c r="B3" s="293" t="s">
        <v>37</v>
      </c>
      <c r="C3" s="293"/>
      <c r="D3" s="293"/>
      <c r="E3" s="293"/>
      <c r="F3" s="293"/>
      <c r="G3" s="293"/>
      <c r="H3" s="293"/>
      <c r="I3" s="293"/>
    </row>
    <row r="4" spans="2:9" ht="23.25" x14ac:dyDescent="0.25">
      <c r="B4" s="293" t="s">
        <v>27</v>
      </c>
      <c r="C4" s="293"/>
      <c r="D4" s="293"/>
      <c r="E4" s="293"/>
      <c r="F4" s="293"/>
      <c r="G4" s="293"/>
      <c r="H4" s="293"/>
      <c r="I4" s="293"/>
    </row>
    <row r="5" spans="2:9" ht="15.75" thickBot="1" x14ac:dyDescent="0.3"/>
    <row r="6" spans="2:9" ht="90" customHeight="1" x14ac:dyDescent="0.25">
      <c r="B6" s="63" t="s">
        <v>449</v>
      </c>
      <c r="C6" s="204" t="s">
        <v>450</v>
      </c>
      <c r="D6" s="66" t="s">
        <v>50</v>
      </c>
      <c r="E6" s="294" t="s">
        <v>52</v>
      </c>
      <c r="F6" s="295"/>
      <c r="G6" s="45" t="s">
        <v>0</v>
      </c>
      <c r="H6" s="109"/>
      <c r="I6" s="109"/>
    </row>
    <row r="7" spans="2:9" ht="34.5" customHeight="1" x14ac:dyDescent="0.25">
      <c r="B7" s="64"/>
      <c r="C7" s="205" t="s">
        <v>451</v>
      </c>
      <c r="D7" s="68">
        <v>0.5</v>
      </c>
      <c r="E7" s="296" t="s">
        <v>53</v>
      </c>
      <c r="F7" s="297"/>
      <c r="G7" s="300" t="s">
        <v>1</v>
      </c>
      <c r="H7" s="33"/>
      <c r="I7" s="34"/>
    </row>
    <row r="8" spans="2:9" ht="39.75" customHeight="1" thickBot="1" x14ac:dyDescent="0.3">
      <c r="B8" s="65"/>
      <c r="C8" s="206" t="s">
        <v>452</v>
      </c>
      <c r="D8" s="68">
        <v>0.5</v>
      </c>
      <c r="E8" s="303" t="s">
        <v>51</v>
      </c>
      <c r="F8" s="304"/>
      <c r="G8" s="302"/>
      <c r="H8" s="35"/>
      <c r="I8" s="34"/>
    </row>
    <row r="10" spans="2:9" x14ac:dyDescent="0.25">
      <c r="B10" s="21" t="s">
        <v>28</v>
      </c>
      <c r="C10" s="32" t="s">
        <v>29</v>
      </c>
      <c r="D10" s="32" t="s">
        <v>18</v>
      </c>
      <c r="E10" s="32" t="s">
        <v>0</v>
      </c>
    </row>
    <row r="11" spans="2:9" x14ac:dyDescent="0.25">
      <c r="B11" s="36" t="s">
        <v>30</v>
      </c>
      <c r="C11" s="37">
        <v>5437884572</v>
      </c>
      <c r="D11" s="38">
        <f>+C11/828116</f>
        <v>6566.5734897043412</v>
      </c>
      <c r="E11" s="38"/>
    </row>
    <row r="12" spans="2:9" x14ac:dyDescent="0.25">
      <c r="B12" s="36" t="s">
        <v>38</v>
      </c>
      <c r="C12" s="37">
        <f>+C11*0.75</f>
        <v>4078413429</v>
      </c>
      <c r="D12" s="38">
        <f>+C12/828116</f>
        <v>4924.9301172782561</v>
      </c>
      <c r="E12" s="38" t="s">
        <v>396</v>
      </c>
    </row>
    <row r="13" spans="2:9" x14ac:dyDescent="0.25">
      <c r="B13" s="36" t="s">
        <v>39</v>
      </c>
      <c r="C13" s="37">
        <f>+C11*1.2</f>
        <v>6525461486.3999996</v>
      </c>
      <c r="D13" s="38">
        <f>+C13/828116</f>
        <v>7879.8881876452087</v>
      </c>
      <c r="E13" s="38"/>
    </row>
    <row r="14" spans="2:9" x14ac:dyDescent="0.25">
      <c r="B14" s="36" t="s">
        <v>245</v>
      </c>
      <c r="C14" s="37">
        <f>+C11*1.5</f>
        <v>8156826858</v>
      </c>
      <c r="D14" s="38">
        <f>+C14/828116</f>
        <v>9849.8602345565123</v>
      </c>
      <c r="E14" s="38" t="s">
        <v>0</v>
      </c>
    </row>
    <row r="16" spans="2:9" x14ac:dyDescent="0.25">
      <c r="B16" s="23" t="s">
        <v>31</v>
      </c>
      <c r="C16" s="23"/>
      <c r="D16" s="23"/>
    </row>
    <row r="17" spans="1:18" ht="30" x14ac:dyDescent="0.25">
      <c r="B17" s="32" t="s">
        <v>32</v>
      </c>
      <c r="C17" s="21" t="s">
        <v>33</v>
      </c>
      <c r="D17" s="32" t="s">
        <v>34</v>
      </c>
      <c r="E17" s="21" t="s">
        <v>54</v>
      </c>
      <c r="F17" s="21" t="s">
        <v>41</v>
      </c>
      <c r="G17" s="21" t="s">
        <v>42</v>
      </c>
      <c r="H17" s="21" t="s">
        <v>43</v>
      </c>
      <c r="I17" s="32" t="s">
        <v>17</v>
      </c>
    </row>
    <row r="18" spans="1:18" ht="65.099999999999994" customHeight="1" x14ac:dyDescent="0.25">
      <c r="A18" s="32">
        <v>1</v>
      </c>
      <c r="B18" s="201">
        <v>619</v>
      </c>
      <c r="C18" s="207" t="s">
        <v>451</v>
      </c>
      <c r="D18" s="203">
        <v>8</v>
      </c>
      <c r="E18" s="94" t="s">
        <v>0</v>
      </c>
      <c r="F18" s="127">
        <v>14642.3</v>
      </c>
      <c r="G18" s="97">
        <f>+F18*828116</f>
        <v>12125522906.799999</v>
      </c>
      <c r="H18" s="98" t="s">
        <v>453</v>
      </c>
      <c r="I18" s="99" t="s">
        <v>0</v>
      </c>
      <c r="J18" s="207">
        <v>0.5</v>
      </c>
    </row>
    <row r="19" spans="1:18" ht="65.099999999999994" customHeight="1" x14ac:dyDescent="0.25">
      <c r="A19" s="32">
        <v>2</v>
      </c>
      <c r="B19" s="201" t="s">
        <v>454</v>
      </c>
      <c r="C19" s="207" t="s">
        <v>455</v>
      </c>
      <c r="D19" s="203" t="s">
        <v>456</v>
      </c>
      <c r="E19" s="94" t="s">
        <v>0</v>
      </c>
      <c r="F19" s="20">
        <f>SUM(F17:F18)</f>
        <v>14642.3</v>
      </c>
      <c r="G19" s="97">
        <f t="shared" ref="G19:G22" si="0">+F19*828116</f>
        <v>12125522906.799999</v>
      </c>
      <c r="H19" s="98" t="s">
        <v>241</v>
      </c>
      <c r="I19" s="99" t="s">
        <v>0</v>
      </c>
      <c r="J19" s="207">
        <v>0.3</v>
      </c>
      <c r="R19" s="97"/>
    </row>
    <row r="20" spans="1:18" ht="65.099999999999994" customHeight="1" x14ac:dyDescent="0.25">
      <c r="A20" s="32" t="s">
        <v>396</v>
      </c>
      <c r="B20" s="94" t="s">
        <v>457</v>
      </c>
      <c r="C20" s="94" t="s">
        <v>451</v>
      </c>
      <c r="D20" s="146">
        <v>3</v>
      </c>
      <c r="E20" s="94" t="s">
        <v>0</v>
      </c>
      <c r="F20" s="127">
        <v>21291.33</v>
      </c>
      <c r="G20" s="97">
        <f t="shared" si="0"/>
        <v>17631691034.280003</v>
      </c>
      <c r="H20" s="98" t="s">
        <v>241</v>
      </c>
      <c r="I20" s="99" t="s">
        <v>0</v>
      </c>
      <c r="R20" s="97"/>
    </row>
    <row r="21" spans="1:18" ht="65.099999999999994" customHeight="1" x14ac:dyDescent="0.25">
      <c r="A21" s="32" t="s">
        <v>396</v>
      </c>
      <c r="B21" s="94" t="s">
        <v>458</v>
      </c>
      <c r="C21" s="207" t="s">
        <v>455</v>
      </c>
      <c r="D21" s="94" t="s">
        <v>459</v>
      </c>
      <c r="E21" s="94" t="s">
        <v>0</v>
      </c>
      <c r="F21" s="20">
        <f>SUM(F19:F20)</f>
        <v>35933.630000000005</v>
      </c>
      <c r="G21" s="97">
        <f t="shared" si="0"/>
        <v>29757213941.080006</v>
      </c>
      <c r="H21" s="98" t="s">
        <v>241</v>
      </c>
      <c r="I21" s="99" t="s">
        <v>0</v>
      </c>
    </row>
    <row r="22" spans="1:18" ht="65.099999999999994" customHeight="1" x14ac:dyDescent="0.25">
      <c r="A22" s="32">
        <v>5</v>
      </c>
      <c r="B22" s="2" t="s">
        <v>460</v>
      </c>
      <c r="C22" s="2" t="s">
        <v>451</v>
      </c>
      <c r="D22" s="2">
        <v>5</v>
      </c>
      <c r="E22" s="94" t="s">
        <v>0</v>
      </c>
      <c r="F22" s="130">
        <v>37191.49</v>
      </c>
      <c r="G22" s="97">
        <f t="shared" si="0"/>
        <v>30798867932.84</v>
      </c>
      <c r="H22" s="98" t="s">
        <v>461</v>
      </c>
      <c r="I22" s="99" t="s">
        <v>0</v>
      </c>
      <c r="R22" s="97"/>
    </row>
    <row r="23" spans="1:18" ht="65.099999999999994" customHeight="1" x14ac:dyDescent="0.25">
      <c r="A23" s="32">
        <v>6</v>
      </c>
      <c r="B23" s="2"/>
      <c r="C23" s="2"/>
      <c r="D23" s="2"/>
      <c r="E23" s="2"/>
      <c r="F23" s="130"/>
      <c r="G23" s="131"/>
      <c r="H23" s="24"/>
      <c r="I23" s="132"/>
      <c r="R23" s="97"/>
    </row>
    <row r="24" spans="1:18" x14ac:dyDescent="0.25">
      <c r="B24" s="2"/>
      <c r="D24" s="2"/>
      <c r="E24" s="32" t="s">
        <v>35</v>
      </c>
      <c r="F24" s="25">
        <f>SUM(F18:F23)</f>
        <v>123701.04999999999</v>
      </c>
      <c r="G24" s="40">
        <f>SUM(G18:G23)</f>
        <v>102438818721.8</v>
      </c>
      <c r="H24" s="26"/>
    </row>
    <row r="25" spans="1:18" x14ac:dyDescent="0.25">
      <c r="B25" s="34"/>
      <c r="D25" s="34"/>
      <c r="E25" s="42" t="s">
        <v>18</v>
      </c>
      <c r="F25" s="43"/>
      <c r="G25" s="44">
        <f>+G24/828116</f>
        <v>123701.05</v>
      </c>
      <c r="H25" s="41"/>
    </row>
    <row r="27" spans="1:18" ht="43.5" customHeight="1" x14ac:dyDescent="0.25">
      <c r="B27" s="305" t="s">
        <v>44</v>
      </c>
      <c r="C27" s="305"/>
      <c r="D27" s="305"/>
      <c r="E27" s="305"/>
      <c r="F27" s="305"/>
      <c r="G27" s="305"/>
      <c r="H27" s="306"/>
      <c r="I27" s="306"/>
      <c r="J27" s="306"/>
      <c r="K27" s="306"/>
      <c r="L27" s="306"/>
      <c r="M27" s="306"/>
      <c r="N27" s="306"/>
    </row>
    <row r="28" spans="1:18" ht="31.5" customHeight="1" x14ac:dyDescent="0.25">
      <c r="B28" s="307" t="s">
        <v>45</v>
      </c>
      <c r="C28" s="307"/>
      <c r="D28" s="307"/>
      <c r="E28" s="307"/>
      <c r="F28" s="307"/>
      <c r="G28" s="307"/>
      <c r="H28" s="308"/>
      <c r="I28" s="308"/>
      <c r="J28" s="308"/>
      <c r="K28" s="308"/>
      <c r="L28" s="308"/>
      <c r="M28" s="308"/>
      <c r="N28" s="308"/>
    </row>
    <row r="29" spans="1:18" ht="31.5" customHeight="1" x14ac:dyDescent="0.25">
      <c r="B29" s="307" t="s">
        <v>46</v>
      </c>
      <c r="C29" s="307"/>
      <c r="D29" s="307"/>
      <c r="E29" s="307"/>
      <c r="F29" s="307"/>
      <c r="G29" s="307"/>
      <c r="H29" s="309"/>
      <c r="I29" s="309"/>
      <c r="J29" s="309"/>
      <c r="K29" s="309"/>
      <c r="L29" s="309"/>
      <c r="M29" s="309"/>
      <c r="N29" s="309"/>
    </row>
    <row r="30" spans="1:18" ht="34.5" customHeight="1" x14ac:dyDescent="0.25">
      <c r="B30" s="307" t="s">
        <v>47</v>
      </c>
      <c r="C30" s="310"/>
      <c r="D30" s="310"/>
      <c r="E30" s="310"/>
      <c r="F30" s="310"/>
      <c r="G30" s="310"/>
      <c r="H30" s="309"/>
      <c r="I30" s="309"/>
      <c r="J30" s="309"/>
      <c r="K30" s="309"/>
      <c r="L30" s="309"/>
      <c r="M30" s="309"/>
      <c r="N30" s="309"/>
    </row>
    <row r="31" spans="1:18" ht="34.5" customHeight="1" x14ac:dyDescent="0.25">
      <c r="B31" s="307" t="s">
        <v>48</v>
      </c>
      <c r="C31" s="310"/>
      <c r="D31" s="310"/>
      <c r="E31" s="310"/>
      <c r="F31" s="310"/>
      <c r="G31" s="310"/>
      <c r="H31" s="309"/>
      <c r="I31" s="309"/>
      <c r="J31" s="309"/>
      <c r="K31" s="309"/>
      <c r="L31" s="309"/>
      <c r="M31" s="309"/>
      <c r="N31" s="309"/>
    </row>
    <row r="32" spans="1:18" x14ac:dyDescent="0.25">
      <c r="B32" s="27"/>
      <c r="G32" s="28"/>
    </row>
    <row r="35" spans="2:10" x14ac:dyDescent="0.25">
      <c r="B35" s="311" t="s">
        <v>49</v>
      </c>
      <c r="C35" s="311"/>
      <c r="D35" s="311"/>
    </row>
    <row r="36" spans="2:10" x14ac:dyDescent="0.25">
      <c r="B36" s="20"/>
    </row>
    <row r="41" spans="2:10" x14ac:dyDescent="0.25">
      <c r="H41" s="29"/>
      <c r="I41" s="30"/>
      <c r="J41" s="31"/>
    </row>
    <row r="42" spans="2:10" x14ac:dyDescent="0.25">
      <c r="H42" s="29"/>
      <c r="I42" s="30"/>
      <c r="J42" s="31"/>
    </row>
  </sheetData>
  <mergeCells count="18">
    <mergeCell ref="B2:I2"/>
    <mergeCell ref="B3:I3"/>
    <mergeCell ref="B4:I4"/>
    <mergeCell ref="E6:F6"/>
    <mergeCell ref="E7:F7"/>
    <mergeCell ref="G7:G8"/>
    <mergeCell ref="E8:F8"/>
    <mergeCell ref="B27:G27"/>
    <mergeCell ref="H27:N27"/>
    <mergeCell ref="B28:G28"/>
    <mergeCell ref="H28:N28"/>
    <mergeCell ref="B29:G29"/>
    <mergeCell ref="H29:N29"/>
    <mergeCell ref="B30:G30"/>
    <mergeCell ref="H30:N30"/>
    <mergeCell ref="B31:G31"/>
    <mergeCell ref="H31:N31"/>
    <mergeCell ref="B35:D35"/>
  </mergeCells>
  <pageMargins left="0.7" right="0.7" top="0.75" bottom="0.75" header="0.3" footer="0.3"/>
  <pageSetup scale="39" orientation="portrait" r:id="rId1"/>
  <colBreaks count="1" manualBreakCount="1">
    <brk id="9"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R42"/>
  <sheetViews>
    <sheetView view="pageBreakPreview" topLeftCell="A9" zoomScale="60" zoomScaleNormal="80" workbookViewId="0">
      <selection activeCell="H20" sqref="H20"/>
    </sheetView>
  </sheetViews>
  <sheetFormatPr baseColWidth="10" defaultColWidth="11.42578125" defaultRowHeight="15" x14ac:dyDescent="0.25"/>
  <cols>
    <col min="1" max="1" width="7.5703125" style="20" customWidth="1"/>
    <col min="2" max="2" width="25.5703125" style="22" customWidth="1"/>
    <col min="3" max="3" width="30" style="22" customWidth="1"/>
    <col min="4" max="4" width="18.7109375" style="20" customWidth="1"/>
    <col min="5" max="5" width="15.5703125" style="20" customWidth="1"/>
    <col min="6" max="6" width="25.140625" style="20" customWidth="1"/>
    <col min="7" max="7" width="40.140625" style="20" bestFit="1" customWidth="1"/>
    <col min="8" max="8" width="17.5703125" style="20" customWidth="1"/>
    <col min="9" max="9" width="50.28515625" style="20" customWidth="1"/>
    <col min="10" max="10" width="11.42578125" style="20"/>
    <col min="11" max="11" width="12.28515625" style="20" bestFit="1" customWidth="1"/>
    <col min="12" max="12" width="11.42578125" style="20"/>
    <col min="13" max="13" width="10.85546875" style="20" bestFit="1" customWidth="1"/>
    <col min="14" max="14" width="6.28515625" style="20" customWidth="1"/>
    <col min="15" max="17" width="11.42578125" style="20"/>
    <col min="18" max="18" width="22.7109375" style="20" customWidth="1"/>
    <col min="19" max="16384" width="11.42578125" style="20"/>
  </cols>
  <sheetData>
    <row r="2" spans="2:9" ht="23.25" x14ac:dyDescent="0.25">
      <c r="B2" s="293" t="s">
        <v>26</v>
      </c>
      <c r="C2" s="293"/>
      <c r="D2" s="293"/>
      <c r="E2" s="293"/>
      <c r="F2" s="293"/>
      <c r="G2" s="293"/>
      <c r="H2" s="293"/>
      <c r="I2" s="293"/>
    </row>
    <row r="3" spans="2:9" ht="23.25" x14ac:dyDescent="0.25">
      <c r="B3" s="293" t="s">
        <v>37</v>
      </c>
      <c r="C3" s="293"/>
      <c r="D3" s="293"/>
      <c r="E3" s="293"/>
      <c r="F3" s="293"/>
      <c r="G3" s="293"/>
      <c r="H3" s="293"/>
      <c r="I3" s="293"/>
    </row>
    <row r="4" spans="2:9" ht="23.25" x14ac:dyDescent="0.25">
      <c r="B4" s="293" t="s">
        <v>27</v>
      </c>
      <c r="C4" s="293"/>
      <c r="D4" s="293"/>
      <c r="E4" s="293"/>
      <c r="F4" s="293"/>
      <c r="G4" s="293"/>
      <c r="H4" s="293"/>
      <c r="I4" s="293"/>
    </row>
    <row r="5" spans="2:9" ht="15.75" thickBot="1" x14ac:dyDescent="0.3"/>
    <row r="6" spans="2:9" ht="90" customHeight="1" x14ac:dyDescent="0.25">
      <c r="B6" s="63" t="s">
        <v>462</v>
      </c>
      <c r="C6" s="204" t="s">
        <v>463</v>
      </c>
      <c r="D6" s="66" t="s">
        <v>50</v>
      </c>
      <c r="E6" s="294" t="s">
        <v>52</v>
      </c>
      <c r="F6" s="295"/>
      <c r="G6" s="45" t="s">
        <v>0</v>
      </c>
      <c r="H6" s="109"/>
      <c r="I6" s="109"/>
    </row>
    <row r="7" spans="2:9" ht="34.5" customHeight="1" x14ac:dyDescent="0.25">
      <c r="B7" s="64"/>
      <c r="C7" s="143" t="s">
        <v>464</v>
      </c>
      <c r="D7" s="68">
        <v>1</v>
      </c>
      <c r="E7" s="312" t="s">
        <v>53</v>
      </c>
      <c r="F7" s="313"/>
      <c r="G7" s="300" t="s">
        <v>1</v>
      </c>
      <c r="H7" s="33"/>
      <c r="I7" s="34"/>
    </row>
    <row r="8" spans="2:9" ht="39.75" customHeight="1" thickBot="1" x14ac:dyDescent="0.3">
      <c r="B8" s="65"/>
      <c r="C8" s="206"/>
      <c r="D8" s="68"/>
      <c r="E8" s="303" t="s">
        <v>51</v>
      </c>
      <c r="F8" s="304"/>
      <c r="G8" s="302"/>
      <c r="H8" s="35"/>
      <c r="I8" s="34"/>
    </row>
    <row r="10" spans="2:9" x14ac:dyDescent="0.25">
      <c r="B10" s="21" t="s">
        <v>28</v>
      </c>
      <c r="C10" s="32" t="s">
        <v>29</v>
      </c>
      <c r="D10" s="32" t="s">
        <v>18</v>
      </c>
      <c r="E10" s="32" t="s">
        <v>0</v>
      </c>
    </row>
    <row r="11" spans="2:9" x14ac:dyDescent="0.25">
      <c r="B11" s="36" t="s">
        <v>30</v>
      </c>
      <c r="C11" s="37">
        <v>5437884572</v>
      </c>
      <c r="D11" s="38">
        <f>+C11/828116</f>
        <v>6566.5734897043412</v>
      </c>
      <c r="E11" s="38"/>
    </row>
    <row r="12" spans="2:9" x14ac:dyDescent="0.25">
      <c r="B12" s="36" t="s">
        <v>38</v>
      </c>
      <c r="C12" s="37">
        <f>+C11*0.75</f>
        <v>4078413429</v>
      </c>
      <c r="D12" s="38">
        <f>+C12/828116</f>
        <v>4924.9301172782561</v>
      </c>
      <c r="E12" s="38" t="s">
        <v>396</v>
      </c>
    </row>
    <row r="13" spans="2:9" x14ac:dyDescent="0.25">
      <c r="B13" s="36" t="s">
        <v>39</v>
      </c>
      <c r="C13" s="37">
        <f>+C11*1.2</f>
        <v>6525461486.3999996</v>
      </c>
      <c r="D13" s="38">
        <f>+C13/828116</f>
        <v>7879.8881876452087</v>
      </c>
      <c r="E13" s="38"/>
    </row>
    <row r="14" spans="2:9" x14ac:dyDescent="0.25">
      <c r="B14" s="36" t="s">
        <v>245</v>
      </c>
      <c r="C14" s="37">
        <f>+C11*1.5</f>
        <v>8156826858</v>
      </c>
      <c r="D14" s="38">
        <f>+C14/828116</f>
        <v>9849.8602345565123</v>
      </c>
      <c r="E14" s="38" t="s">
        <v>0</v>
      </c>
    </row>
    <row r="16" spans="2:9" x14ac:dyDescent="0.25">
      <c r="B16" s="23" t="s">
        <v>31</v>
      </c>
      <c r="C16" s="23"/>
      <c r="D16" s="23"/>
    </row>
    <row r="17" spans="1:18" ht="30" x14ac:dyDescent="0.25">
      <c r="B17" s="32" t="s">
        <v>32</v>
      </c>
      <c r="C17" s="21" t="s">
        <v>33</v>
      </c>
      <c r="D17" s="32" t="s">
        <v>34</v>
      </c>
      <c r="E17" s="21" t="s">
        <v>54</v>
      </c>
      <c r="F17" s="21" t="s">
        <v>41</v>
      </c>
      <c r="G17" s="21" t="s">
        <v>42</v>
      </c>
      <c r="H17" s="21" t="s">
        <v>43</v>
      </c>
      <c r="I17" s="32" t="s">
        <v>17</v>
      </c>
    </row>
    <row r="18" spans="1:18" ht="65.099999999999994" customHeight="1" x14ac:dyDescent="0.25">
      <c r="A18" s="32">
        <v>1</v>
      </c>
      <c r="B18" s="201" t="s">
        <v>465</v>
      </c>
      <c r="C18" s="207" t="s">
        <v>466</v>
      </c>
      <c r="D18" s="203">
        <v>157</v>
      </c>
      <c r="E18" s="94" t="s">
        <v>0</v>
      </c>
      <c r="F18" s="144">
        <v>6736.81</v>
      </c>
      <c r="G18" s="97">
        <f>+F18*828116</f>
        <v>5578860149.96</v>
      </c>
      <c r="H18" s="98" t="s">
        <v>467</v>
      </c>
      <c r="I18" s="99" t="s">
        <v>0</v>
      </c>
      <c r="J18" s="207">
        <v>1</v>
      </c>
    </row>
    <row r="19" spans="1:18" ht="65.099999999999994" customHeight="1" x14ac:dyDescent="0.25">
      <c r="A19" s="32">
        <v>2</v>
      </c>
      <c r="B19" s="201" t="s">
        <v>468</v>
      </c>
      <c r="C19" s="207" t="s">
        <v>466</v>
      </c>
      <c r="D19" s="203">
        <v>145</v>
      </c>
      <c r="E19" s="94" t="s">
        <v>0</v>
      </c>
      <c r="F19" s="208">
        <v>8330.2000000000007</v>
      </c>
      <c r="G19" s="97">
        <f t="shared" ref="G19:G23" si="0">+F19*828116</f>
        <v>6898371903.2000008</v>
      </c>
      <c r="H19" s="98" t="s">
        <v>469</v>
      </c>
      <c r="I19" s="99" t="s">
        <v>0</v>
      </c>
      <c r="J19" s="207">
        <v>0.55000000000000004</v>
      </c>
      <c r="R19" s="97"/>
    </row>
    <row r="20" spans="1:18" ht="65.099999999999994" customHeight="1" x14ac:dyDescent="0.25">
      <c r="A20" s="32">
        <v>3</v>
      </c>
      <c r="B20" s="94" t="s">
        <v>470</v>
      </c>
      <c r="C20" s="207" t="s">
        <v>466</v>
      </c>
      <c r="D20" s="146">
        <v>124</v>
      </c>
      <c r="E20" s="94" t="s">
        <v>0</v>
      </c>
      <c r="F20" s="144">
        <v>11086.89</v>
      </c>
      <c r="G20" s="97">
        <f t="shared" si="0"/>
        <v>9181230999.2399998</v>
      </c>
      <c r="H20" s="98" t="s">
        <v>469</v>
      </c>
      <c r="I20" s="99" t="s">
        <v>0</v>
      </c>
      <c r="J20" s="207">
        <v>0.5</v>
      </c>
      <c r="R20" s="97"/>
    </row>
    <row r="21" spans="1:18" ht="65.099999999999994" customHeight="1" x14ac:dyDescent="0.25">
      <c r="A21" s="32">
        <v>4</v>
      </c>
      <c r="B21" s="94" t="s">
        <v>471</v>
      </c>
      <c r="C21" s="207" t="s">
        <v>466</v>
      </c>
      <c r="D21" s="94">
        <v>58</v>
      </c>
      <c r="E21" s="94" t="s">
        <v>0</v>
      </c>
      <c r="F21" s="208">
        <v>14977.41</v>
      </c>
      <c r="G21" s="97">
        <f t="shared" si="0"/>
        <v>12403032859.559999</v>
      </c>
      <c r="H21" s="98" t="s">
        <v>469</v>
      </c>
      <c r="I21" s="99" t="s">
        <v>0</v>
      </c>
      <c r="J21" s="207">
        <v>0.45</v>
      </c>
    </row>
    <row r="22" spans="1:18" ht="65.099999999999994" customHeight="1" x14ac:dyDescent="0.25">
      <c r="A22" s="32">
        <v>5</v>
      </c>
      <c r="B22" s="2" t="s">
        <v>472</v>
      </c>
      <c r="C22" s="207" t="s">
        <v>466</v>
      </c>
      <c r="D22" s="2">
        <v>59</v>
      </c>
      <c r="E22" s="94" t="s">
        <v>0</v>
      </c>
      <c r="F22" s="209">
        <v>2274.3200000000002</v>
      </c>
      <c r="G22" s="97">
        <f t="shared" si="0"/>
        <v>1883400781.1200001</v>
      </c>
      <c r="H22" s="98" t="s">
        <v>469</v>
      </c>
      <c r="I22" s="99" t="s">
        <v>0</v>
      </c>
      <c r="J22" s="207">
        <v>1</v>
      </c>
      <c r="R22" s="97"/>
    </row>
    <row r="23" spans="1:18" ht="65.099999999999994" customHeight="1" x14ac:dyDescent="0.25">
      <c r="A23" s="32">
        <v>6</v>
      </c>
      <c r="B23" s="2" t="s">
        <v>473</v>
      </c>
      <c r="C23" s="207" t="s">
        <v>466</v>
      </c>
      <c r="D23" s="2">
        <v>107</v>
      </c>
      <c r="E23" s="94" t="s">
        <v>0</v>
      </c>
      <c r="F23" s="209">
        <v>7880.25</v>
      </c>
      <c r="G23" s="97">
        <f t="shared" si="0"/>
        <v>6525761109</v>
      </c>
      <c r="H23" s="98" t="s">
        <v>469</v>
      </c>
      <c r="I23" s="99" t="s">
        <v>0</v>
      </c>
      <c r="J23" s="207">
        <v>0.8</v>
      </c>
      <c r="R23" s="97"/>
    </row>
    <row r="24" spans="1:18" x14ac:dyDescent="0.25">
      <c r="B24" s="2"/>
      <c r="D24" s="2"/>
      <c r="E24" s="32" t="s">
        <v>35</v>
      </c>
      <c r="F24" s="25">
        <f>SUM(F18:F23)</f>
        <v>51285.88</v>
      </c>
      <c r="G24" s="40">
        <f>SUM(G18:G23)</f>
        <v>42470657802.080002</v>
      </c>
      <c r="H24" s="26"/>
    </row>
    <row r="25" spans="1:18" x14ac:dyDescent="0.25">
      <c r="B25" s="34"/>
      <c r="D25" s="34"/>
      <c r="E25" s="42" t="s">
        <v>18</v>
      </c>
      <c r="F25" s="43"/>
      <c r="G25" s="44">
        <f>+G24/828116</f>
        <v>51285.880000000005</v>
      </c>
      <c r="H25" s="41"/>
    </row>
    <row r="27" spans="1:18" ht="43.5" customHeight="1" x14ac:dyDescent="0.25">
      <c r="B27" s="305" t="s">
        <v>44</v>
      </c>
      <c r="C27" s="305"/>
      <c r="D27" s="305"/>
      <c r="E27" s="305"/>
      <c r="F27" s="305"/>
      <c r="G27" s="305"/>
      <c r="H27" s="306"/>
      <c r="I27" s="306"/>
      <c r="J27" s="306"/>
      <c r="K27" s="306"/>
      <c r="L27" s="306"/>
      <c r="M27" s="306"/>
      <c r="N27" s="306"/>
    </row>
    <row r="28" spans="1:18" ht="31.5" customHeight="1" x14ac:dyDescent="0.25">
      <c r="B28" s="307" t="s">
        <v>45</v>
      </c>
      <c r="C28" s="307"/>
      <c r="D28" s="307"/>
      <c r="E28" s="307"/>
      <c r="F28" s="307"/>
      <c r="G28" s="307"/>
      <c r="H28" s="308"/>
      <c r="I28" s="308"/>
      <c r="J28" s="308"/>
      <c r="K28" s="308"/>
      <c r="L28" s="308"/>
      <c r="M28" s="308"/>
      <c r="N28" s="308"/>
    </row>
    <row r="29" spans="1:18" ht="31.5" customHeight="1" x14ac:dyDescent="0.25">
      <c r="B29" s="307" t="s">
        <v>46</v>
      </c>
      <c r="C29" s="307"/>
      <c r="D29" s="307"/>
      <c r="E29" s="307"/>
      <c r="F29" s="307"/>
      <c r="G29" s="307"/>
      <c r="H29" s="309"/>
      <c r="I29" s="309"/>
      <c r="J29" s="309"/>
      <c r="K29" s="309"/>
      <c r="L29" s="309"/>
      <c r="M29" s="309"/>
      <c r="N29" s="309"/>
    </row>
    <row r="30" spans="1:18" ht="34.5" customHeight="1" x14ac:dyDescent="0.25">
      <c r="B30" s="307" t="s">
        <v>47</v>
      </c>
      <c r="C30" s="310"/>
      <c r="D30" s="310"/>
      <c r="E30" s="310"/>
      <c r="F30" s="310"/>
      <c r="G30" s="310"/>
      <c r="H30" s="309"/>
      <c r="I30" s="309"/>
      <c r="J30" s="309"/>
      <c r="K30" s="309"/>
      <c r="L30" s="309"/>
      <c r="M30" s="309"/>
      <c r="N30" s="309"/>
    </row>
    <row r="31" spans="1:18" ht="34.5" customHeight="1" x14ac:dyDescent="0.25">
      <c r="B31" s="307" t="s">
        <v>48</v>
      </c>
      <c r="C31" s="310"/>
      <c r="D31" s="310"/>
      <c r="E31" s="310"/>
      <c r="F31" s="310"/>
      <c r="G31" s="310"/>
      <c r="H31" s="309"/>
      <c r="I31" s="309"/>
      <c r="J31" s="309"/>
      <c r="K31" s="309"/>
      <c r="L31" s="309"/>
      <c r="M31" s="309"/>
      <c r="N31" s="309"/>
    </row>
    <row r="32" spans="1:18" x14ac:dyDescent="0.25">
      <c r="B32" s="27"/>
      <c r="G32" s="28"/>
    </row>
    <row r="35" spans="2:10" x14ac:dyDescent="0.25">
      <c r="B35" s="311" t="s">
        <v>49</v>
      </c>
      <c r="C35" s="311"/>
      <c r="D35" s="311"/>
    </row>
    <row r="36" spans="2:10" x14ac:dyDescent="0.25">
      <c r="B36" s="20"/>
    </row>
    <row r="41" spans="2:10" x14ac:dyDescent="0.25">
      <c r="H41" s="29"/>
      <c r="I41" s="30"/>
      <c r="J41" s="31"/>
    </row>
    <row r="42" spans="2:10" x14ac:dyDescent="0.25">
      <c r="H42" s="29"/>
      <c r="I42" s="30"/>
      <c r="J42" s="31"/>
    </row>
  </sheetData>
  <mergeCells count="18">
    <mergeCell ref="B2:I2"/>
    <mergeCell ref="B3:I3"/>
    <mergeCell ref="B4:I4"/>
    <mergeCell ref="E6:F6"/>
    <mergeCell ref="E7:F7"/>
    <mergeCell ref="G7:G8"/>
    <mergeCell ref="E8:F8"/>
    <mergeCell ref="B27:G27"/>
    <mergeCell ref="H27:N27"/>
    <mergeCell ref="B28:G28"/>
    <mergeCell ref="H28:N28"/>
    <mergeCell ref="B29:G29"/>
    <mergeCell ref="H29:N29"/>
    <mergeCell ref="B30:G30"/>
    <mergeCell ref="H30:N30"/>
    <mergeCell ref="B31:G31"/>
    <mergeCell ref="H31:N31"/>
    <mergeCell ref="B35:D35"/>
  </mergeCells>
  <pageMargins left="0.7" right="0.7" top="0.75" bottom="0.75" header="0.3" footer="0.3"/>
  <pageSetup scale="39" orientation="portrait" r:id="rId1"/>
  <colBreaks count="1" manualBreakCount="1">
    <brk id="9"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R106"/>
  <sheetViews>
    <sheetView view="pageBreakPreview" topLeftCell="A28" zoomScale="60" zoomScaleNormal="60" workbookViewId="0">
      <selection activeCell="I45" sqref="I45"/>
    </sheetView>
  </sheetViews>
  <sheetFormatPr baseColWidth="10" defaultColWidth="11.42578125" defaultRowHeight="15" x14ac:dyDescent="0.25"/>
  <cols>
    <col min="1" max="1" width="7.5703125" style="20" customWidth="1"/>
    <col min="2" max="2" width="25.5703125" style="22" customWidth="1"/>
    <col min="3" max="3" width="30" style="22" customWidth="1"/>
    <col min="4" max="4" width="18.7109375" style="20" customWidth="1"/>
    <col min="5" max="5" width="15.5703125" style="20" customWidth="1"/>
    <col min="6" max="6" width="25.140625" style="20" customWidth="1"/>
    <col min="7" max="7" width="40.140625" style="20" bestFit="1" customWidth="1"/>
    <col min="8" max="8" width="17.5703125" style="20" customWidth="1"/>
    <col min="9" max="9" width="50.28515625" style="20" customWidth="1"/>
    <col min="10" max="10" width="11.42578125" style="20"/>
    <col min="11" max="11" width="12.28515625" style="20" bestFit="1" customWidth="1"/>
    <col min="12" max="12" width="11.42578125" style="20"/>
    <col min="13" max="13" width="10.85546875" style="20" bestFit="1" customWidth="1"/>
    <col min="14" max="14" width="6.28515625" style="20" customWidth="1"/>
    <col min="15" max="17" width="11.42578125" style="20"/>
    <col min="18" max="18" width="22.7109375" style="20" customWidth="1"/>
    <col min="19" max="16384" width="11.42578125" style="20"/>
  </cols>
  <sheetData>
    <row r="2" spans="2:9" ht="23.25" x14ac:dyDescent="0.25">
      <c r="B2" s="293" t="s">
        <v>26</v>
      </c>
      <c r="C2" s="293"/>
      <c r="D2" s="293"/>
      <c r="E2" s="293"/>
      <c r="F2" s="293"/>
      <c r="G2" s="293"/>
      <c r="H2" s="293"/>
      <c r="I2" s="293"/>
    </row>
    <row r="3" spans="2:9" ht="23.25" x14ac:dyDescent="0.25">
      <c r="B3" s="293" t="s">
        <v>37</v>
      </c>
      <c r="C3" s="293"/>
      <c r="D3" s="293"/>
      <c r="E3" s="293"/>
      <c r="F3" s="293"/>
      <c r="G3" s="293"/>
      <c r="H3" s="293"/>
      <c r="I3" s="293"/>
    </row>
    <row r="4" spans="2:9" ht="23.25" x14ac:dyDescent="0.25">
      <c r="B4" s="293" t="s">
        <v>27</v>
      </c>
      <c r="C4" s="293"/>
      <c r="D4" s="293"/>
      <c r="E4" s="293"/>
      <c r="F4" s="293"/>
      <c r="G4" s="293"/>
      <c r="H4" s="293"/>
      <c r="I4" s="293"/>
    </row>
    <row r="5" spans="2:9" ht="15.75" thickBot="1" x14ac:dyDescent="0.3"/>
    <row r="6" spans="2:9" ht="90" customHeight="1" x14ac:dyDescent="0.25">
      <c r="B6" s="63" t="s">
        <v>474</v>
      </c>
      <c r="C6" s="204" t="s">
        <v>475</v>
      </c>
      <c r="D6" s="66" t="s">
        <v>50</v>
      </c>
      <c r="E6" s="294" t="s">
        <v>52</v>
      </c>
      <c r="F6" s="295"/>
      <c r="G6" s="45" t="s">
        <v>0</v>
      </c>
      <c r="H6" s="109"/>
      <c r="I6" s="109"/>
    </row>
    <row r="7" spans="2:9" ht="34.5" customHeight="1" x14ac:dyDescent="0.25">
      <c r="B7" s="64"/>
      <c r="C7" s="143" t="s">
        <v>464</v>
      </c>
      <c r="D7" s="68">
        <v>1</v>
      </c>
      <c r="E7" s="312" t="s">
        <v>53</v>
      </c>
      <c r="F7" s="313"/>
      <c r="G7" s="300" t="s">
        <v>1</v>
      </c>
      <c r="H7" s="33"/>
      <c r="I7" s="34"/>
    </row>
    <row r="8" spans="2:9" ht="39.75" customHeight="1" thickBot="1" x14ac:dyDescent="0.3">
      <c r="B8" s="65"/>
      <c r="C8" s="206"/>
      <c r="D8" s="68"/>
      <c r="E8" s="303" t="s">
        <v>51</v>
      </c>
      <c r="F8" s="304"/>
      <c r="G8" s="302"/>
      <c r="H8" s="35"/>
      <c r="I8" s="34"/>
    </row>
    <row r="10" spans="2:9" x14ac:dyDescent="0.25">
      <c r="B10" s="21" t="s">
        <v>28</v>
      </c>
      <c r="C10" s="32" t="s">
        <v>29</v>
      </c>
      <c r="D10" s="32" t="s">
        <v>18</v>
      </c>
      <c r="E10" s="32" t="s">
        <v>0</v>
      </c>
    </row>
    <row r="11" spans="2:9" x14ac:dyDescent="0.25">
      <c r="B11" s="36" t="s">
        <v>30</v>
      </c>
      <c r="C11" s="37">
        <v>5437884572</v>
      </c>
      <c r="D11" s="38">
        <f>+C11/828116</f>
        <v>6566.5734897043412</v>
      </c>
      <c r="E11" s="38"/>
    </row>
    <row r="12" spans="2:9" x14ac:dyDescent="0.25">
      <c r="B12" s="36" t="s">
        <v>38</v>
      </c>
      <c r="C12" s="37">
        <f>+C11*0.75</f>
        <v>4078413429</v>
      </c>
      <c r="D12" s="38">
        <f>+C12/828116</f>
        <v>4924.9301172782561</v>
      </c>
      <c r="E12" s="38" t="s">
        <v>0</v>
      </c>
    </row>
    <row r="13" spans="2:9" x14ac:dyDescent="0.25">
      <c r="B13" s="36" t="s">
        <v>39</v>
      </c>
      <c r="C13" s="37">
        <f>+C11*1.2</f>
        <v>6525461486.3999996</v>
      </c>
      <c r="D13" s="38">
        <f>+C13/828116</f>
        <v>7879.8881876452087</v>
      </c>
      <c r="E13" s="38"/>
    </row>
    <row r="14" spans="2:9" x14ac:dyDescent="0.25">
      <c r="B14" s="36" t="s">
        <v>245</v>
      </c>
      <c r="C14" s="37">
        <f>+C11*1.5</f>
        <v>8156826858</v>
      </c>
      <c r="D14" s="38">
        <f>+C14/828116</f>
        <v>9849.8602345565123</v>
      </c>
      <c r="E14" s="38" t="s">
        <v>396</v>
      </c>
    </row>
    <row r="16" spans="2:9" x14ac:dyDescent="0.25">
      <c r="B16" s="23" t="s">
        <v>31</v>
      </c>
      <c r="C16" s="23"/>
      <c r="D16" s="23"/>
    </row>
    <row r="17" spans="1:18" ht="30" x14ac:dyDescent="0.25">
      <c r="B17" s="32" t="s">
        <v>32</v>
      </c>
      <c r="C17" s="21" t="s">
        <v>33</v>
      </c>
      <c r="D17" s="32" t="s">
        <v>34</v>
      </c>
      <c r="E17" s="21" t="s">
        <v>54</v>
      </c>
      <c r="F17" s="21" t="s">
        <v>41</v>
      </c>
      <c r="G17" s="21" t="s">
        <v>42</v>
      </c>
      <c r="H17" s="21" t="s">
        <v>43</v>
      </c>
      <c r="I17" s="32" t="s">
        <v>17</v>
      </c>
    </row>
    <row r="18" spans="1:18" ht="65.099999999999994" customHeight="1" x14ac:dyDescent="0.25">
      <c r="A18" s="32">
        <v>1</v>
      </c>
      <c r="B18" s="201" t="s">
        <v>476</v>
      </c>
      <c r="C18" s="207" t="s">
        <v>477</v>
      </c>
      <c r="D18" s="203">
        <v>38</v>
      </c>
      <c r="E18" s="94" t="s">
        <v>0</v>
      </c>
      <c r="F18" s="144">
        <v>9861.32</v>
      </c>
      <c r="G18" s="97">
        <f>+F18*828116</f>
        <v>8166316873.1199999</v>
      </c>
      <c r="H18" s="98" t="s">
        <v>467</v>
      </c>
      <c r="I18" s="99" t="s">
        <v>0</v>
      </c>
      <c r="J18" s="207">
        <v>1</v>
      </c>
    </row>
    <row r="19" spans="1:18" ht="65.099999999999994" customHeight="1" x14ac:dyDescent="0.25">
      <c r="A19" s="32">
        <v>2</v>
      </c>
      <c r="B19" s="201" t="s">
        <v>478</v>
      </c>
      <c r="C19" s="207" t="s">
        <v>477</v>
      </c>
      <c r="D19" s="203">
        <v>41</v>
      </c>
      <c r="E19" s="94" t="s">
        <v>0</v>
      </c>
      <c r="F19" s="208">
        <v>7987.02</v>
      </c>
      <c r="G19" s="97">
        <f t="shared" ref="G19" si="0">+F19*828116</f>
        <v>6614179054.3200006</v>
      </c>
      <c r="H19" s="98" t="s">
        <v>469</v>
      </c>
      <c r="I19" s="99" t="s">
        <v>0</v>
      </c>
      <c r="J19" s="207">
        <v>0.55000000000000004</v>
      </c>
      <c r="R19" s="97"/>
    </row>
    <row r="20" spans="1:18" x14ac:dyDescent="0.25">
      <c r="B20" s="2"/>
      <c r="D20" s="2"/>
      <c r="E20" s="32" t="s">
        <v>35</v>
      </c>
      <c r="F20" s="25">
        <f>SUM(F18:F19)</f>
        <v>17848.34</v>
      </c>
      <c r="G20" s="40">
        <f>SUM(G18:G19)</f>
        <v>14780495927.440001</v>
      </c>
      <c r="H20" s="26"/>
    </row>
    <row r="21" spans="1:18" x14ac:dyDescent="0.25">
      <c r="B21" s="34"/>
      <c r="D21" s="34"/>
      <c r="E21" s="42" t="s">
        <v>18</v>
      </c>
      <c r="F21" s="43"/>
      <c r="G21" s="44">
        <f>+G20/828116</f>
        <v>17848.34</v>
      </c>
      <c r="H21" s="41"/>
    </row>
    <row r="23" spans="1:18" ht="43.5" customHeight="1" x14ac:dyDescent="0.25">
      <c r="B23" s="305" t="s">
        <v>44</v>
      </c>
      <c r="C23" s="305"/>
      <c r="D23" s="305"/>
      <c r="E23" s="305"/>
      <c r="F23" s="305"/>
      <c r="G23" s="305"/>
      <c r="H23" s="306"/>
      <c r="I23" s="306"/>
      <c r="J23" s="306"/>
      <c r="K23" s="306"/>
      <c r="L23" s="306"/>
      <c r="M23" s="306"/>
      <c r="N23" s="306"/>
    </row>
    <row r="24" spans="1:18" ht="31.5" customHeight="1" x14ac:dyDescent="0.25">
      <c r="B24" s="307" t="s">
        <v>45</v>
      </c>
      <c r="C24" s="307"/>
      <c r="D24" s="307"/>
      <c r="E24" s="307"/>
      <c r="F24" s="307"/>
      <c r="G24" s="307"/>
      <c r="H24" s="308"/>
      <c r="I24" s="308"/>
      <c r="J24" s="308"/>
      <c r="K24" s="308"/>
      <c r="L24" s="308"/>
      <c r="M24" s="308"/>
      <c r="N24" s="308"/>
    </row>
    <row r="25" spans="1:18" ht="31.5" customHeight="1" x14ac:dyDescent="0.25">
      <c r="B25" s="307" t="s">
        <v>46</v>
      </c>
      <c r="C25" s="307"/>
      <c r="D25" s="307"/>
      <c r="E25" s="307"/>
      <c r="F25" s="307"/>
      <c r="G25" s="307"/>
      <c r="H25" s="309"/>
      <c r="I25" s="309"/>
      <c r="J25" s="309"/>
      <c r="K25" s="309"/>
      <c r="L25" s="309"/>
      <c r="M25" s="309"/>
      <c r="N25" s="309"/>
    </row>
    <row r="26" spans="1:18" ht="34.5" customHeight="1" x14ac:dyDescent="0.25">
      <c r="B26" s="307" t="s">
        <v>47</v>
      </c>
      <c r="C26" s="310"/>
      <c r="D26" s="310"/>
      <c r="E26" s="310"/>
      <c r="F26" s="310"/>
      <c r="G26" s="310"/>
      <c r="H26" s="309"/>
      <c r="I26" s="309"/>
      <c r="J26" s="309"/>
      <c r="K26" s="309"/>
      <c r="L26" s="309"/>
      <c r="M26" s="309"/>
      <c r="N26" s="309"/>
    </row>
    <row r="27" spans="1:18" ht="34.5" customHeight="1" x14ac:dyDescent="0.25">
      <c r="B27" s="307" t="s">
        <v>48</v>
      </c>
      <c r="C27" s="310"/>
      <c r="D27" s="310"/>
      <c r="E27" s="310"/>
      <c r="F27" s="310"/>
      <c r="G27" s="310"/>
      <c r="H27" s="309"/>
      <c r="I27" s="309"/>
      <c r="J27" s="309"/>
      <c r="K27" s="309"/>
      <c r="L27" s="309"/>
      <c r="M27" s="309"/>
      <c r="N27" s="309"/>
    </row>
    <row r="28" spans="1:18" x14ac:dyDescent="0.25">
      <c r="B28" s="27"/>
      <c r="G28" s="28"/>
    </row>
    <row r="31" spans="1:18" x14ac:dyDescent="0.25">
      <c r="B31" s="311" t="s">
        <v>49</v>
      </c>
      <c r="C31" s="311"/>
      <c r="D31" s="311"/>
    </row>
    <row r="32" spans="1:18" x14ac:dyDescent="0.25">
      <c r="B32" s="20"/>
    </row>
    <row r="37" spans="8:10" x14ac:dyDescent="0.25">
      <c r="H37" s="29"/>
      <c r="I37" s="30"/>
      <c r="J37" s="31"/>
    </row>
    <row r="38" spans="8:10" x14ac:dyDescent="0.25">
      <c r="H38" s="29"/>
      <c r="I38" s="30"/>
      <c r="J38" s="31"/>
    </row>
    <row r="100" spans="2:7" x14ac:dyDescent="0.25">
      <c r="B100" s="210"/>
      <c r="C100" s="211"/>
      <c r="D100" s="212"/>
      <c r="E100" s="212"/>
      <c r="F100" s="213"/>
      <c r="G100" s="212"/>
    </row>
    <row r="101" spans="2:7" x14ac:dyDescent="0.25">
      <c r="B101" s="210"/>
      <c r="C101" s="211"/>
      <c r="D101" s="212"/>
      <c r="E101" s="212"/>
      <c r="F101" s="213"/>
      <c r="G101" s="212"/>
    </row>
    <row r="102" spans="2:7" x14ac:dyDescent="0.25">
      <c r="B102" s="210"/>
      <c r="C102" s="211"/>
      <c r="D102" s="212"/>
      <c r="E102" s="212"/>
      <c r="F102" s="213"/>
      <c r="G102" s="212"/>
    </row>
    <row r="103" spans="2:7" x14ac:dyDescent="0.25">
      <c r="B103" s="210"/>
      <c r="C103" s="211"/>
      <c r="D103" s="212"/>
      <c r="E103" s="212"/>
      <c r="F103" s="213"/>
      <c r="G103" s="212"/>
    </row>
    <row r="104" spans="2:7" x14ac:dyDescent="0.25">
      <c r="B104" s="210"/>
      <c r="C104" s="211"/>
      <c r="D104" s="212"/>
      <c r="E104" s="212"/>
      <c r="F104" s="213"/>
      <c r="G104" s="212"/>
    </row>
    <row r="105" spans="2:7" x14ac:dyDescent="0.25">
      <c r="B105" s="210"/>
      <c r="C105" s="211"/>
      <c r="D105" s="212"/>
      <c r="E105" s="212"/>
      <c r="F105" s="213"/>
      <c r="G105" s="212"/>
    </row>
    <row r="106" spans="2:7" x14ac:dyDescent="0.25">
      <c r="B106" s="210"/>
      <c r="C106" s="211"/>
      <c r="D106" s="212"/>
      <c r="E106" s="212"/>
      <c r="F106" s="213"/>
      <c r="G106" s="212"/>
    </row>
  </sheetData>
  <mergeCells count="18">
    <mergeCell ref="B2:I2"/>
    <mergeCell ref="B3:I3"/>
    <mergeCell ref="B4:I4"/>
    <mergeCell ref="E6:F6"/>
    <mergeCell ref="E7:F7"/>
    <mergeCell ref="G7:G8"/>
    <mergeCell ref="E8:F8"/>
    <mergeCell ref="B23:G23"/>
    <mergeCell ref="H23:N23"/>
    <mergeCell ref="B24:G24"/>
    <mergeCell ref="H24:N24"/>
    <mergeCell ref="B25:G25"/>
    <mergeCell ref="H25:N25"/>
    <mergeCell ref="B26:G26"/>
    <mergeCell ref="H26:N26"/>
    <mergeCell ref="B27:G27"/>
    <mergeCell ref="H27:N27"/>
    <mergeCell ref="B31:D31"/>
  </mergeCells>
  <pageMargins left="0.7" right="0.7" top="0.75" bottom="0.75" header="0.3" footer="0.3"/>
  <pageSetup scale="39" orientation="portrait" r:id="rId1"/>
  <rowBreaks count="1" manualBreakCount="1">
    <brk id="34" max="8" man="1"/>
  </rowBreaks>
  <colBreaks count="1" manualBreakCount="1">
    <brk id="9"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2:N43"/>
  <sheetViews>
    <sheetView view="pageBreakPreview" topLeftCell="A22" zoomScale="60" zoomScaleNormal="65" workbookViewId="0">
      <selection activeCell="B37" sqref="B37:C38"/>
    </sheetView>
  </sheetViews>
  <sheetFormatPr baseColWidth="10" defaultRowHeight="15" x14ac:dyDescent="0.25"/>
  <cols>
    <col min="1" max="1" width="7.5703125" style="20" customWidth="1"/>
    <col min="2" max="2" width="25.5703125" style="22" customWidth="1"/>
    <col min="3" max="3" width="30" style="22" customWidth="1"/>
    <col min="4" max="4" width="18.7109375" style="20" customWidth="1"/>
    <col min="5" max="5" width="38" style="20" customWidth="1"/>
    <col min="6" max="6" width="25.140625" style="20" customWidth="1"/>
    <col min="7" max="7" width="30.85546875" style="20" customWidth="1"/>
    <col min="8" max="8" width="17.5703125" style="20" customWidth="1"/>
    <col min="9" max="9" width="50.28515625" style="20" customWidth="1"/>
    <col min="10" max="10" width="11.42578125" style="20"/>
    <col min="11" max="11" width="12.28515625" style="20" bestFit="1" customWidth="1"/>
    <col min="12" max="12" width="11.42578125" style="20"/>
    <col min="13" max="13" width="10.85546875" style="20" bestFit="1" customWidth="1"/>
    <col min="14" max="14" width="6.28515625" style="20" customWidth="1"/>
    <col min="15" max="16384" width="11.42578125" style="20"/>
  </cols>
  <sheetData>
    <row r="2" spans="2:9" ht="23.25" x14ac:dyDescent="0.25">
      <c r="B2" s="293" t="s">
        <v>26</v>
      </c>
      <c r="C2" s="293"/>
      <c r="D2" s="293"/>
      <c r="E2" s="293"/>
      <c r="F2" s="293"/>
      <c r="G2" s="293"/>
      <c r="H2" s="293"/>
      <c r="I2" s="293"/>
    </row>
    <row r="3" spans="2:9" ht="23.25" x14ac:dyDescent="0.25">
      <c r="B3" s="293" t="s">
        <v>37</v>
      </c>
      <c r="C3" s="293"/>
      <c r="D3" s="293"/>
      <c r="E3" s="293"/>
      <c r="F3" s="293"/>
      <c r="G3" s="293"/>
      <c r="H3" s="293"/>
      <c r="I3" s="293"/>
    </row>
    <row r="4" spans="2:9" ht="23.25" x14ac:dyDescent="0.25">
      <c r="B4" s="293" t="s">
        <v>27</v>
      </c>
      <c r="C4" s="293"/>
      <c r="D4" s="293"/>
      <c r="E4" s="293"/>
      <c r="F4" s="293"/>
      <c r="G4" s="293"/>
      <c r="H4" s="293"/>
      <c r="I4" s="293"/>
    </row>
    <row r="5" spans="2:9" ht="15.75" thickBot="1" x14ac:dyDescent="0.3"/>
    <row r="6" spans="2:9" ht="90" customHeight="1" x14ac:dyDescent="0.25">
      <c r="B6" s="63" t="s">
        <v>110</v>
      </c>
      <c r="C6" s="92" t="s">
        <v>97</v>
      </c>
      <c r="D6" s="66" t="s">
        <v>50</v>
      </c>
      <c r="E6" s="294" t="s">
        <v>52</v>
      </c>
      <c r="F6" s="295"/>
      <c r="G6" s="45" t="s">
        <v>0</v>
      </c>
      <c r="H6" s="39"/>
      <c r="I6" s="39"/>
    </row>
    <row r="7" spans="2:9" ht="34.5" customHeight="1" x14ac:dyDescent="0.25">
      <c r="B7" s="64"/>
      <c r="C7" s="67" t="s">
        <v>96</v>
      </c>
      <c r="D7" s="68">
        <v>0.4</v>
      </c>
      <c r="E7" s="296" t="s">
        <v>53</v>
      </c>
      <c r="F7" s="297"/>
      <c r="G7" s="300" t="s">
        <v>1</v>
      </c>
      <c r="H7" s="33"/>
      <c r="I7" s="34"/>
    </row>
    <row r="8" spans="2:9" ht="58.5" customHeight="1" x14ac:dyDescent="0.25">
      <c r="B8" s="64"/>
      <c r="C8" s="67" t="s">
        <v>98</v>
      </c>
      <c r="D8" s="68">
        <v>0.3</v>
      </c>
      <c r="E8" s="298"/>
      <c r="F8" s="299"/>
      <c r="G8" s="301"/>
      <c r="H8" s="35"/>
      <c r="I8" s="34"/>
    </row>
    <row r="9" spans="2:9" ht="39.75" customHeight="1" thickBot="1" x14ac:dyDescent="0.3">
      <c r="B9" s="65"/>
      <c r="C9" s="69" t="s">
        <v>99</v>
      </c>
      <c r="D9" s="68">
        <v>0.3</v>
      </c>
      <c r="E9" s="303" t="s">
        <v>51</v>
      </c>
      <c r="F9" s="304"/>
      <c r="G9" s="302"/>
      <c r="H9" s="35"/>
      <c r="I9" s="34"/>
    </row>
    <row r="11" spans="2:9" x14ac:dyDescent="0.25">
      <c r="B11" s="21" t="s">
        <v>28</v>
      </c>
      <c r="C11" s="17" t="s">
        <v>29</v>
      </c>
      <c r="D11" s="17" t="s">
        <v>18</v>
      </c>
      <c r="E11" s="32" t="s">
        <v>0</v>
      </c>
    </row>
    <row r="12" spans="2:9" x14ac:dyDescent="0.25">
      <c r="B12" s="36" t="s">
        <v>30</v>
      </c>
      <c r="C12" s="37">
        <v>5437884572</v>
      </c>
      <c r="D12" s="38">
        <f>+C12/828116</f>
        <v>6566.5734897043412</v>
      </c>
      <c r="E12" s="38"/>
    </row>
    <row r="13" spans="2:9" x14ac:dyDescent="0.25">
      <c r="B13" s="36" t="s">
        <v>38</v>
      </c>
      <c r="C13" s="37">
        <f>+C12*0.75</f>
        <v>4078413429</v>
      </c>
      <c r="D13" s="38">
        <f>+C13/828116</f>
        <v>4924.9301172782561</v>
      </c>
      <c r="E13" s="126" t="s">
        <v>0</v>
      </c>
    </row>
    <row r="14" spans="2:9" x14ac:dyDescent="0.25">
      <c r="B14" s="36" t="s">
        <v>39</v>
      </c>
      <c r="C14" s="37">
        <f>+C12*1.2</f>
        <v>6525461486.3999996</v>
      </c>
      <c r="D14" s="38">
        <f>+C14/828116</f>
        <v>7879.8881876452087</v>
      </c>
      <c r="E14" s="102"/>
    </row>
    <row r="15" spans="2:9" x14ac:dyDescent="0.25">
      <c r="B15" s="36" t="s">
        <v>40</v>
      </c>
      <c r="C15" s="37">
        <f>+C12*1.5</f>
        <v>8156826858</v>
      </c>
      <c r="D15" s="38">
        <f>+C15/828116</f>
        <v>9849.8602345565123</v>
      </c>
      <c r="E15" s="38"/>
    </row>
    <row r="17" spans="1:14" x14ac:dyDescent="0.25">
      <c r="B17" s="23" t="s">
        <v>31</v>
      </c>
      <c r="C17" s="23"/>
      <c r="D17" s="23"/>
    </row>
    <row r="18" spans="1:14" ht="30" x14ac:dyDescent="0.25">
      <c r="B18" s="17" t="s">
        <v>32</v>
      </c>
      <c r="C18" s="21" t="s">
        <v>33</v>
      </c>
      <c r="D18" s="17" t="s">
        <v>34</v>
      </c>
      <c r="E18" s="21" t="s">
        <v>54</v>
      </c>
      <c r="F18" s="21" t="s">
        <v>41</v>
      </c>
      <c r="G18" s="21" t="s">
        <v>42</v>
      </c>
      <c r="H18" s="21" t="s">
        <v>43</v>
      </c>
      <c r="I18" s="17" t="s">
        <v>17</v>
      </c>
    </row>
    <row r="19" spans="1:14" ht="143.25" customHeight="1" x14ac:dyDescent="0.25">
      <c r="A19" s="17">
        <v>1</v>
      </c>
      <c r="B19" s="93" t="s">
        <v>112</v>
      </c>
      <c r="C19" s="89" t="s">
        <v>160</v>
      </c>
      <c r="D19" s="94">
        <v>72</v>
      </c>
      <c r="E19" s="100" t="s">
        <v>111</v>
      </c>
      <c r="F19" s="96">
        <v>18548.599999999999</v>
      </c>
      <c r="G19" s="97"/>
      <c r="H19" s="98"/>
      <c r="I19" s="99" t="s">
        <v>123</v>
      </c>
    </row>
    <row r="20" spans="1:14" ht="187.5" customHeight="1" x14ac:dyDescent="0.25">
      <c r="A20" s="17">
        <v>2</v>
      </c>
      <c r="B20" s="93" t="s">
        <v>120</v>
      </c>
      <c r="C20" s="89" t="s">
        <v>161</v>
      </c>
      <c r="D20" s="94">
        <v>70</v>
      </c>
      <c r="E20" s="100" t="s">
        <v>113</v>
      </c>
      <c r="F20" s="96">
        <v>9285.2099999999991</v>
      </c>
      <c r="G20" s="97"/>
      <c r="H20" s="98"/>
      <c r="I20" s="99" t="s">
        <v>124</v>
      </c>
    </row>
    <row r="21" spans="1:14" ht="173.25" customHeight="1" x14ac:dyDescent="0.25">
      <c r="A21" s="17">
        <v>3</v>
      </c>
      <c r="B21" s="93" t="s">
        <v>119</v>
      </c>
      <c r="C21" s="89" t="s">
        <v>162</v>
      </c>
      <c r="D21" s="94">
        <v>95</v>
      </c>
      <c r="E21" s="100" t="s">
        <v>114</v>
      </c>
      <c r="F21" s="101">
        <v>7306.67</v>
      </c>
      <c r="G21" s="97"/>
      <c r="H21" s="98"/>
      <c r="I21" s="99" t="s">
        <v>125</v>
      </c>
    </row>
    <row r="22" spans="1:14" ht="174" customHeight="1" x14ac:dyDescent="0.25">
      <c r="A22" s="17">
        <v>4</v>
      </c>
      <c r="B22" s="93" t="s">
        <v>118</v>
      </c>
      <c r="C22" s="89" t="s">
        <v>162</v>
      </c>
      <c r="D22" s="94">
        <v>1123</v>
      </c>
      <c r="E22" s="100" t="s">
        <v>115</v>
      </c>
      <c r="F22" s="101">
        <v>11166.97</v>
      </c>
      <c r="G22" s="97"/>
      <c r="H22" s="98"/>
      <c r="I22" s="99" t="s">
        <v>126</v>
      </c>
    </row>
    <row r="23" spans="1:14" ht="148.5" customHeight="1" x14ac:dyDescent="0.25">
      <c r="A23" s="17">
        <v>5</v>
      </c>
      <c r="B23" s="93" t="s">
        <v>117</v>
      </c>
      <c r="C23" s="89" t="s">
        <v>163</v>
      </c>
      <c r="D23" s="2">
        <v>103</v>
      </c>
      <c r="E23" s="100" t="s">
        <v>116</v>
      </c>
      <c r="F23" s="101">
        <v>3223.22</v>
      </c>
      <c r="G23" s="97">
        <f t="shared" ref="G23:G24" si="0">+F23*828116</f>
        <v>2669200053.52</v>
      </c>
      <c r="H23" s="105" t="s">
        <v>143</v>
      </c>
      <c r="I23" s="24" t="s">
        <v>135</v>
      </c>
    </row>
    <row r="24" spans="1:14" ht="201.75" customHeight="1" x14ac:dyDescent="0.25">
      <c r="A24" s="17">
        <v>6</v>
      </c>
      <c r="B24" s="2" t="s">
        <v>121</v>
      </c>
      <c r="C24" s="106" t="s">
        <v>164</v>
      </c>
      <c r="D24" s="2">
        <v>116</v>
      </c>
      <c r="E24" s="100" t="s">
        <v>122</v>
      </c>
      <c r="F24" s="101">
        <v>3428.52</v>
      </c>
      <c r="G24" s="97">
        <f t="shared" si="0"/>
        <v>2839212268.3200002</v>
      </c>
      <c r="H24" s="105" t="s">
        <v>144</v>
      </c>
      <c r="I24" s="99" t="s">
        <v>136</v>
      </c>
    </row>
    <row r="25" spans="1:14" x14ac:dyDescent="0.25">
      <c r="B25" s="2"/>
      <c r="D25" s="2"/>
      <c r="E25" s="17" t="s">
        <v>35</v>
      </c>
      <c r="F25" s="25">
        <f>SUM(F19:F24)</f>
        <v>52959.189999999995</v>
      </c>
      <c r="G25" s="40">
        <f>SUM(G19:G24)</f>
        <v>5508412321.8400002</v>
      </c>
      <c r="H25" s="26"/>
    </row>
    <row r="26" spans="1:14" x14ac:dyDescent="0.25">
      <c r="B26" s="34"/>
      <c r="D26" s="34"/>
      <c r="E26" s="42" t="s">
        <v>18</v>
      </c>
      <c r="F26" s="43"/>
      <c r="G26" s="44">
        <f>+G25/828116</f>
        <v>6651.74</v>
      </c>
      <c r="H26" s="41"/>
    </row>
    <row r="28" spans="1:14" ht="43.5" customHeight="1" x14ac:dyDescent="0.25">
      <c r="B28" s="305" t="s">
        <v>44</v>
      </c>
      <c r="C28" s="305"/>
      <c r="D28" s="305"/>
      <c r="E28" s="305"/>
      <c r="F28" s="305"/>
      <c r="G28" s="305"/>
      <c r="H28" s="306"/>
      <c r="I28" s="306"/>
      <c r="J28" s="306"/>
      <c r="K28" s="306"/>
      <c r="L28" s="306"/>
      <c r="M28" s="306"/>
      <c r="N28" s="306"/>
    </row>
    <row r="29" spans="1:14" ht="31.5" customHeight="1" x14ac:dyDescent="0.25">
      <c r="B29" s="307" t="s">
        <v>45</v>
      </c>
      <c r="C29" s="307"/>
      <c r="D29" s="307"/>
      <c r="E29" s="307"/>
      <c r="F29" s="307"/>
      <c r="G29" s="307"/>
      <c r="H29" s="308"/>
      <c r="I29" s="308"/>
      <c r="J29" s="308"/>
      <c r="K29" s="308"/>
      <c r="L29" s="308"/>
      <c r="M29" s="308"/>
      <c r="N29" s="308"/>
    </row>
    <row r="30" spans="1:14" ht="31.5" customHeight="1" x14ac:dyDescent="0.25">
      <c r="B30" s="307" t="s">
        <v>46</v>
      </c>
      <c r="C30" s="307"/>
      <c r="D30" s="307"/>
      <c r="E30" s="307"/>
      <c r="F30" s="307"/>
      <c r="G30" s="307"/>
      <c r="H30" s="309"/>
      <c r="I30" s="309"/>
      <c r="J30" s="309"/>
      <c r="K30" s="309"/>
      <c r="L30" s="309"/>
      <c r="M30" s="309"/>
      <c r="N30" s="309"/>
    </row>
    <row r="31" spans="1:14" ht="34.5" customHeight="1" x14ac:dyDescent="0.25">
      <c r="B31" s="307" t="s">
        <v>47</v>
      </c>
      <c r="C31" s="310"/>
      <c r="D31" s="310"/>
      <c r="E31" s="310"/>
      <c r="F31" s="310"/>
      <c r="G31" s="310"/>
      <c r="H31" s="309"/>
      <c r="I31" s="309"/>
      <c r="J31" s="309"/>
      <c r="K31" s="309"/>
      <c r="L31" s="309"/>
      <c r="M31" s="309"/>
      <c r="N31" s="309"/>
    </row>
    <row r="32" spans="1:14" ht="34.5" customHeight="1" x14ac:dyDescent="0.25">
      <c r="B32" s="307" t="s">
        <v>48</v>
      </c>
      <c r="C32" s="310"/>
      <c r="D32" s="310"/>
      <c r="E32" s="310"/>
      <c r="F32" s="310"/>
      <c r="G32" s="310"/>
      <c r="H32" s="309"/>
      <c r="I32" s="309"/>
      <c r="J32" s="309"/>
      <c r="K32" s="309"/>
      <c r="L32" s="309"/>
      <c r="M32" s="309"/>
      <c r="N32" s="309"/>
    </row>
    <row r="33" spans="2:10" x14ac:dyDescent="0.25">
      <c r="B33" s="27"/>
      <c r="G33" s="28"/>
    </row>
    <row r="37" spans="2:10" x14ac:dyDescent="0.25">
      <c r="B37" s="103"/>
    </row>
    <row r="38" spans="2:10" x14ac:dyDescent="0.25">
      <c r="B38" s="73"/>
    </row>
    <row r="39" spans="2:10" x14ac:dyDescent="0.25">
      <c r="B39" s="314" t="s">
        <v>49</v>
      </c>
      <c r="C39" s="314"/>
      <c r="D39" s="314"/>
    </row>
    <row r="42" spans="2:10" x14ac:dyDescent="0.25">
      <c r="H42" s="29"/>
      <c r="I42" s="30"/>
      <c r="J42" s="31"/>
    </row>
    <row r="43" spans="2:10" x14ac:dyDescent="0.25">
      <c r="H43" s="29"/>
      <c r="I43" s="30"/>
      <c r="J43" s="31"/>
    </row>
  </sheetData>
  <mergeCells count="18">
    <mergeCell ref="B31:G31"/>
    <mergeCell ref="B39:D39"/>
    <mergeCell ref="H32:N32"/>
    <mergeCell ref="H29:N29"/>
    <mergeCell ref="H30:N30"/>
    <mergeCell ref="H31:N31"/>
    <mergeCell ref="B32:G32"/>
    <mergeCell ref="B29:G29"/>
    <mergeCell ref="B30:G30"/>
    <mergeCell ref="B2:I2"/>
    <mergeCell ref="B3:I3"/>
    <mergeCell ref="B4:I4"/>
    <mergeCell ref="E6:F6"/>
    <mergeCell ref="H28:N28"/>
    <mergeCell ref="E9:F9"/>
    <mergeCell ref="E7:F8"/>
    <mergeCell ref="B28:G28"/>
    <mergeCell ref="G7:G9"/>
  </mergeCells>
  <pageMargins left="0.7" right="0.7" top="0.75" bottom="0.75" header="0.3" footer="0.3"/>
  <pageSetup scale="37" orientation="portrait" r:id="rId1"/>
  <colBreaks count="1" manualBreakCount="1">
    <brk id="9"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2:N43"/>
  <sheetViews>
    <sheetView view="pageBreakPreview" topLeftCell="A23" zoomScale="60" zoomScaleNormal="80" workbookViewId="0">
      <selection activeCell="B37" sqref="B37:B38"/>
    </sheetView>
  </sheetViews>
  <sheetFormatPr baseColWidth="10" defaultRowHeight="15" x14ac:dyDescent="0.25"/>
  <cols>
    <col min="1" max="1" width="7.5703125" style="20" customWidth="1"/>
    <col min="2" max="2" width="25.5703125" style="22" customWidth="1"/>
    <col min="3" max="3" width="30" style="22" customWidth="1"/>
    <col min="4" max="4" width="18.7109375" style="20" customWidth="1"/>
    <col min="5" max="5" width="38" style="20" customWidth="1"/>
    <col min="6" max="6" width="25.140625" style="20" customWidth="1"/>
    <col min="7" max="7" width="30.85546875" style="20" customWidth="1"/>
    <col min="8" max="8" width="17.5703125" style="20" customWidth="1"/>
    <col min="9" max="9" width="50.28515625" style="20" customWidth="1"/>
    <col min="10" max="10" width="11.42578125" style="20"/>
    <col min="11" max="11" width="12.28515625" style="20" bestFit="1" customWidth="1"/>
    <col min="12" max="12" width="11.42578125" style="20"/>
    <col min="13" max="13" width="10.85546875" style="20" bestFit="1" customWidth="1"/>
    <col min="14" max="14" width="6.28515625" style="20" customWidth="1"/>
    <col min="15" max="16384" width="11.42578125" style="20"/>
  </cols>
  <sheetData>
    <row r="2" spans="2:9" ht="23.25" x14ac:dyDescent="0.25">
      <c r="B2" s="293" t="s">
        <v>26</v>
      </c>
      <c r="C2" s="293"/>
      <c r="D2" s="293"/>
      <c r="E2" s="293"/>
      <c r="F2" s="293"/>
      <c r="G2" s="293"/>
      <c r="H2" s="293"/>
      <c r="I2" s="293"/>
    </row>
    <row r="3" spans="2:9" ht="23.25" x14ac:dyDescent="0.25">
      <c r="B3" s="293" t="s">
        <v>37</v>
      </c>
      <c r="C3" s="293"/>
      <c r="D3" s="293"/>
      <c r="E3" s="293"/>
      <c r="F3" s="293"/>
      <c r="G3" s="293"/>
      <c r="H3" s="293"/>
      <c r="I3" s="293"/>
    </row>
    <row r="4" spans="2:9" ht="23.25" x14ac:dyDescent="0.25">
      <c r="B4" s="293" t="s">
        <v>27</v>
      </c>
      <c r="C4" s="293"/>
      <c r="D4" s="293"/>
      <c r="E4" s="293"/>
      <c r="F4" s="293"/>
      <c r="G4" s="293"/>
      <c r="H4" s="293"/>
      <c r="I4" s="293"/>
    </row>
    <row r="5" spans="2:9" ht="15.75" thickBot="1" x14ac:dyDescent="0.3"/>
    <row r="6" spans="2:9" ht="90" customHeight="1" x14ac:dyDescent="0.25">
      <c r="B6" s="63" t="s">
        <v>110</v>
      </c>
      <c r="C6" s="92" t="s">
        <v>97</v>
      </c>
      <c r="D6" s="66" t="s">
        <v>50</v>
      </c>
      <c r="E6" s="294" t="s">
        <v>52</v>
      </c>
      <c r="F6" s="295"/>
      <c r="G6" s="45" t="s">
        <v>0</v>
      </c>
      <c r="H6" s="91"/>
      <c r="I6" s="91"/>
    </row>
    <row r="7" spans="2:9" ht="34.5" customHeight="1" x14ac:dyDescent="0.25">
      <c r="B7" s="64"/>
      <c r="C7" s="67" t="s">
        <v>101</v>
      </c>
      <c r="D7" s="68">
        <v>0.5</v>
      </c>
      <c r="E7" s="296" t="s">
        <v>53</v>
      </c>
      <c r="F7" s="297"/>
      <c r="G7" s="300" t="s">
        <v>1</v>
      </c>
      <c r="H7" s="33"/>
      <c r="I7" s="34"/>
    </row>
    <row r="8" spans="2:9" ht="58.5" customHeight="1" x14ac:dyDescent="0.25">
      <c r="B8" s="64"/>
      <c r="C8" s="67" t="s">
        <v>102</v>
      </c>
      <c r="D8" s="68">
        <v>0.25</v>
      </c>
      <c r="E8" s="298"/>
      <c r="F8" s="299"/>
      <c r="G8" s="301"/>
      <c r="H8" s="35"/>
      <c r="I8" s="34"/>
    </row>
    <row r="9" spans="2:9" ht="39.75" customHeight="1" thickBot="1" x14ac:dyDescent="0.3">
      <c r="B9" s="65"/>
      <c r="C9" s="69" t="s">
        <v>103</v>
      </c>
      <c r="D9" s="68">
        <v>0.25</v>
      </c>
      <c r="E9" s="303" t="s">
        <v>51</v>
      </c>
      <c r="F9" s="304"/>
      <c r="G9" s="302"/>
      <c r="H9" s="35"/>
      <c r="I9" s="34"/>
    </row>
    <row r="11" spans="2:9" x14ac:dyDescent="0.25">
      <c r="B11" s="21" t="s">
        <v>28</v>
      </c>
      <c r="C11" s="32" t="s">
        <v>29</v>
      </c>
      <c r="D11" s="32" t="s">
        <v>18</v>
      </c>
      <c r="E11" s="32" t="s">
        <v>0</v>
      </c>
    </row>
    <row r="12" spans="2:9" x14ac:dyDescent="0.25">
      <c r="B12" s="36" t="s">
        <v>30</v>
      </c>
      <c r="C12" s="37">
        <v>5437884572</v>
      </c>
      <c r="D12" s="38">
        <f>+C12/828116</f>
        <v>6566.5734897043412</v>
      </c>
      <c r="E12" s="38"/>
    </row>
    <row r="13" spans="2:9" x14ac:dyDescent="0.25">
      <c r="B13" s="36" t="s">
        <v>38</v>
      </c>
      <c r="C13" s="37">
        <f>+C12*0.75</f>
        <v>4078413429</v>
      </c>
      <c r="D13" s="38">
        <f>+C13/828116</f>
        <v>4924.9301172782561</v>
      </c>
      <c r="E13" s="38"/>
    </row>
    <row r="14" spans="2:9" x14ac:dyDescent="0.25">
      <c r="B14" s="36" t="s">
        <v>39</v>
      </c>
      <c r="C14" s="37">
        <f>+C12*1.2</f>
        <v>6525461486.3999996</v>
      </c>
      <c r="D14" s="38">
        <f>+C14/828116</f>
        <v>7879.8881876452087</v>
      </c>
      <c r="E14" s="126" t="s">
        <v>0</v>
      </c>
    </row>
    <row r="15" spans="2:9" x14ac:dyDescent="0.25">
      <c r="B15" s="36" t="s">
        <v>40</v>
      </c>
      <c r="C15" s="37">
        <f>+C12*1.5</f>
        <v>8156826858</v>
      </c>
      <c r="D15" s="38">
        <f>+C15/828116</f>
        <v>9849.8602345565123</v>
      </c>
      <c r="E15" s="38"/>
    </row>
    <row r="17" spans="1:14" x14ac:dyDescent="0.25">
      <c r="B17" s="23" t="s">
        <v>31</v>
      </c>
      <c r="C17" s="23"/>
      <c r="D17" s="23"/>
    </row>
    <row r="18" spans="1:14" ht="30" x14ac:dyDescent="0.25">
      <c r="B18" s="32" t="s">
        <v>32</v>
      </c>
      <c r="C18" s="21" t="s">
        <v>33</v>
      </c>
      <c r="D18" s="32" t="s">
        <v>34</v>
      </c>
      <c r="E18" s="21" t="s">
        <v>54</v>
      </c>
      <c r="F18" s="21" t="s">
        <v>41</v>
      </c>
      <c r="G18" s="21" t="s">
        <v>42</v>
      </c>
      <c r="H18" s="21" t="s">
        <v>43</v>
      </c>
      <c r="I18" s="32" t="s">
        <v>17</v>
      </c>
    </row>
    <row r="19" spans="1:14" ht="124.5" customHeight="1" x14ac:dyDescent="0.25">
      <c r="A19" s="32">
        <v>1</v>
      </c>
      <c r="B19" s="93" t="s">
        <v>128</v>
      </c>
      <c r="C19" s="93" t="s">
        <v>165</v>
      </c>
      <c r="D19" s="94">
        <v>13</v>
      </c>
      <c r="E19" s="100" t="s">
        <v>133</v>
      </c>
      <c r="F19" s="96">
        <v>9884.24</v>
      </c>
      <c r="G19" s="97">
        <f t="shared" ref="G19:G22" si="0">+F19*828116</f>
        <v>8185297291.8400002</v>
      </c>
      <c r="H19" s="98" t="s">
        <v>105</v>
      </c>
      <c r="I19" s="98" t="s">
        <v>105</v>
      </c>
    </row>
    <row r="20" spans="1:14" ht="187.5" customHeight="1" x14ac:dyDescent="0.25">
      <c r="A20" s="32">
        <v>2</v>
      </c>
      <c r="B20" s="93" t="s">
        <v>129</v>
      </c>
      <c r="C20" s="93" t="s">
        <v>166</v>
      </c>
      <c r="D20" s="94">
        <v>35</v>
      </c>
      <c r="E20" s="100" t="s">
        <v>132</v>
      </c>
      <c r="F20" s="96">
        <v>12255.22</v>
      </c>
      <c r="G20" s="97">
        <f t="shared" si="0"/>
        <v>10148743765.519999</v>
      </c>
      <c r="H20" s="98" t="s">
        <v>105</v>
      </c>
      <c r="I20" s="98" t="s">
        <v>105</v>
      </c>
    </row>
    <row r="21" spans="1:14" ht="173.25" customHeight="1" x14ac:dyDescent="0.25">
      <c r="A21" s="32">
        <v>3</v>
      </c>
      <c r="B21" s="93" t="s">
        <v>130</v>
      </c>
      <c r="C21" s="93" t="s">
        <v>167</v>
      </c>
      <c r="D21" s="94">
        <v>37</v>
      </c>
      <c r="E21" s="100" t="s">
        <v>134</v>
      </c>
      <c r="F21" s="101">
        <v>2870.22</v>
      </c>
      <c r="G21" s="97">
        <f t="shared" si="0"/>
        <v>2376875105.52</v>
      </c>
      <c r="H21" s="98" t="s">
        <v>105</v>
      </c>
      <c r="I21" s="98" t="s">
        <v>105</v>
      </c>
    </row>
    <row r="22" spans="1:14" ht="275.25" customHeight="1" x14ac:dyDescent="0.25">
      <c r="A22" s="32">
        <v>4</v>
      </c>
      <c r="B22" s="93" t="s">
        <v>131</v>
      </c>
      <c r="C22" s="93" t="s">
        <v>168</v>
      </c>
      <c r="D22" s="94">
        <v>16</v>
      </c>
      <c r="E22" s="100" t="s">
        <v>137</v>
      </c>
      <c r="F22" s="101">
        <v>721.57</v>
      </c>
      <c r="G22" s="97">
        <f t="shared" si="0"/>
        <v>597543662.12</v>
      </c>
      <c r="H22" s="98" t="s">
        <v>105</v>
      </c>
      <c r="I22" s="99" t="s">
        <v>138</v>
      </c>
    </row>
    <row r="23" spans="1:14" ht="148.5" customHeight="1" x14ac:dyDescent="0.25">
      <c r="A23" s="32">
        <v>5</v>
      </c>
      <c r="B23" s="93"/>
      <c r="C23" s="93"/>
      <c r="D23" s="2"/>
      <c r="E23" s="100"/>
      <c r="F23" s="101"/>
      <c r="G23" s="97"/>
      <c r="H23" s="24"/>
      <c r="I23" s="99"/>
    </row>
    <row r="24" spans="1:14" ht="201.75" customHeight="1" x14ac:dyDescent="0.25">
      <c r="A24" s="32">
        <v>6</v>
      </c>
      <c r="B24" s="2"/>
      <c r="C24" s="100"/>
      <c r="D24" s="2"/>
      <c r="E24" s="100"/>
      <c r="F24" s="101"/>
      <c r="G24" s="97"/>
      <c r="H24" s="24"/>
      <c r="I24" s="99"/>
    </row>
    <row r="25" spans="1:14" x14ac:dyDescent="0.25">
      <c r="B25" s="2"/>
      <c r="D25" s="2"/>
      <c r="E25" s="32" t="s">
        <v>35</v>
      </c>
      <c r="F25" s="25">
        <f>SUM(F19:F24)</f>
        <v>25731.25</v>
      </c>
      <c r="G25" s="40">
        <f>SUM(G19:G24)</f>
        <v>21308459825</v>
      </c>
      <c r="H25" s="26"/>
    </row>
    <row r="26" spans="1:14" x14ac:dyDescent="0.25">
      <c r="B26" s="34"/>
      <c r="D26" s="34"/>
      <c r="E26" s="42" t="s">
        <v>18</v>
      </c>
      <c r="F26" s="43"/>
      <c r="G26" s="44">
        <f>+G25/828116</f>
        <v>25731.25</v>
      </c>
      <c r="H26" s="41"/>
    </row>
    <row r="28" spans="1:14" ht="43.5" customHeight="1" x14ac:dyDescent="0.25">
      <c r="B28" s="305" t="s">
        <v>44</v>
      </c>
      <c r="C28" s="305"/>
      <c r="D28" s="305"/>
      <c r="E28" s="305"/>
      <c r="F28" s="305"/>
      <c r="G28" s="305"/>
      <c r="H28" s="306"/>
      <c r="I28" s="306"/>
      <c r="J28" s="306"/>
      <c r="K28" s="306"/>
      <c r="L28" s="306"/>
      <c r="M28" s="306"/>
      <c r="N28" s="306"/>
    </row>
    <row r="29" spans="1:14" ht="31.5" customHeight="1" x14ac:dyDescent="0.25">
      <c r="B29" s="307" t="s">
        <v>45</v>
      </c>
      <c r="C29" s="307"/>
      <c r="D29" s="307"/>
      <c r="E29" s="307"/>
      <c r="F29" s="307"/>
      <c r="G29" s="307"/>
      <c r="H29" s="308"/>
      <c r="I29" s="308"/>
      <c r="J29" s="308"/>
      <c r="K29" s="308"/>
      <c r="L29" s="308"/>
      <c r="M29" s="308"/>
      <c r="N29" s="308"/>
    </row>
    <row r="30" spans="1:14" ht="31.5" customHeight="1" x14ac:dyDescent="0.25">
      <c r="B30" s="307" t="s">
        <v>46</v>
      </c>
      <c r="C30" s="307"/>
      <c r="D30" s="307"/>
      <c r="E30" s="307"/>
      <c r="F30" s="307"/>
      <c r="G30" s="307"/>
      <c r="H30" s="309"/>
      <c r="I30" s="309"/>
      <c r="J30" s="309"/>
      <c r="K30" s="309"/>
      <c r="L30" s="309"/>
      <c r="M30" s="309"/>
      <c r="N30" s="309"/>
    </row>
    <row r="31" spans="1:14" ht="34.5" customHeight="1" x14ac:dyDescent="0.25">
      <c r="B31" s="307" t="s">
        <v>47</v>
      </c>
      <c r="C31" s="310"/>
      <c r="D31" s="310"/>
      <c r="E31" s="310"/>
      <c r="F31" s="310"/>
      <c r="G31" s="310"/>
      <c r="H31" s="309"/>
      <c r="I31" s="309"/>
      <c r="J31" s="309"/>
      <c r="K31" s="309"/>
      <c r="L31" s="309"/>
      <c r="M31" s="309"/>
      <c r="N31" s="309"/>
    </row>
    <row r="32" spans="1:14" ht="34.5" customHeight="1" x14ac:dyDescent="0.25">
      <c r="B32" s="307" t="s">
        <v>48</v>
      </c>
      <c r="C32" s="310"/>
      <c r="D32" s="310"/>
      <c r="E32" s="310"/>
      <c r="F32" s="310"/>
      <c r="G32" s="310"/>
      <c r="H32" s="309"/>
      <c r="I32" s="309"/>
      <c r="J32" s="309"/>
      <c r="K32" s="309"/>
      <c r="L32" s="309"/>
      <c r="M32" s="309"/>
      <c r="N32" s="309"/>
    </row>
    <row r="33" spans="2:10" x14ac:dyDescent="0.25">
      <c r="B33" s="27"/>
      <c r="G33" s="28"/>
    </row>
    <row r="37" spans="2:10" x14ac:dyDescent="0.25">
      <c r="B37" s="103"/>
    </row>
    <row r="38" spans="2:10" x14ac:dyDescent="0.25">
      <c r="B38" s="73"/>
    </row>
    <row r="39" spans="2:10" x14ac:dyDescent="0.25">
      <c r="B39" s="314" t="s">
        <v>49</v>
      </c>
      <c r="C39" s="314"/>
      <c r="D39" s="314"/>
    </row>
    <row r="42" spans="2:10" x14ac:dyDescent="0.25">
      <c r="H42" s="29"/>
      <c r="I42" s="30"/>
      <c r="J42" s="31"/>
    </row>
    <row r="43" spans="2:10" x14ac:dyDescent="0.25">
      <c r="H43" s="29"/>
      <c r="I43" s="30"/>
      <c r="J43" s="31"/>
    </row>
  </sheetData>
  <mergeCells count="18">
    <mergeCell ref="B31:G31"/>
    <mergeCell ref="H31:N31"/>
    <mergeCell ref="B32:G32"/>
    <mergeCell ref="H32:N32"/>
    <mergeCell ref="B39:D39"/>
    <mergeCell ref="B28:G28"/>
    <mergeCell ref="H28:N28"/>
    <mergeCell ref="B29:G29"/>
    <mergeCell ref="H29:N29"/>
    <mergeCell ref="B30:G30"/>
    <mergeCell ref="H30:N30"/>
    <mergeCell ref="B2:I2"/>
    <mergeCell ref="B3:I3"/>
    <mergeCell ref="B4:I4"/>
    <mergeCell ref="E6:F6"/>
    <mergeCell ref="E7:F8"/>
    <mergeCell ref="G7:G9"/>
    <mergeCell ref="E9:F9"/>
  </mergeCells>
  <pageMargins left="0.7" right="0.7" top="0.75" bottom="0.75" header="0.3" footer="0.3"/>
  <pageSetup scale="37" orientation="portrait" r:id="rId1"/>
  <colBreaks count="1" manualBreakCount="1">
    <brk id="9"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2:N43"/>
  <sheetViews>
    <sheetView view="pageBreakPreview" topLeftCell="A22" zoomScale="60" zoomScaleNormal="80" workbookViewId="0">
      <selection activeCell="B37" sqref="B37:B38"/>
    </sheetView>
  </sheetViews>
  <sheetFormatPr baseColWidth="10" defaultRowHeight="15" x14ac:dyDescent="0.25"/>
  <cols>
    <col min="1" max="1" width="7.5703125" style="20" customWidth="1"/>
    <col min="2" max="2" width="25.5703125" style="22" customWidth="1"/>
    <col min="3" max="3" width="30" style="22" customWidth="1"/>
    <col min="4" max="4" width="18.7109375" style="20" customWidth="1"/>
    <col min="5" max="5" width="38" style="20" customWidth="1"/>
    <col min="6" max="6" width="25.140625" style="20" customWidth="1"/>
    <col min="7" max="7" width="30.85546875" style="20" customWidth="1"/>
    <col min="8" max="8" width="17.5703125" style="20" customWidth="1"/>
    <col min="9" max="9" width="50.28515625" style="20" customWidth="1"/>
    <col min="10" max="10" width="11.42578125" style="20"/>
    <col min="11" max="11" width="12.28515625" style="20" bestFit="1" customWidth="1"/>
    <col min="12" max="12" width="11.42578125" style="20"/>
    <col min="13" max="13" width="10.85546875" style="20" bestFit="1" customWidth="1"/>
    <col min="14" max="14" width="6.28515625" style="20" customWidth="1"/>
    <col min="15" max="16384" width="11.42578125" style="20"/>
  </cols>
  <sheetData>
    <row r="2" spans="2:9" ht="23.25" x14ac:dyDescent="0.25">
      <c r="B2" s="293" t="s">
        <v>26</v>
      </c>
      <c r="C2" s="293"/>
      <c r="D2" s="293"/>
      <c r="E2" s="293"/>
      <c r="F2" s="293"/>
      <c r="G2" s="293"/>
      <c r="H2" s="293"/>
      <c r="I2" s="293"/>
    </row>
    <row r="3" spans="2:9" ht="23.25" x14ac:dyDescent="0.25">
      <c r="B3" s="293" t="s">
        <v>37</v>
      </c>
      <c r="C3" s="293"/>
      <c r="D3" s="293"/>
      <c r="E3" s="293"/>
      <c r="F3" s="293"/>
      <c r="G3" s="293"/>
      <c r="H3" s="293"/>
      <c r="I3" s="293"/>
    </row>
    <row r="4" spans="2:9" ht="23.25" x14ac:dyDescent="0.25">
      <c r="B4" s="293" t="s">
        <v>27</v>
      </c>
      <c r="C4" s="293"/>
      <c r="D4" s="293"/>
      <c r="E4" s="293"/>
      <c r="F4" s="293"/>
      <c r="G4" s="293"/>
      <c r="H4" s="293"/>
      <c r="I4" s="293"/>
    </row>
    <row r="5" spans="2:9" ht="15.75" thickBot="1" x14ac:dyDescent="0.3"/>
    <row r="6" spans="2:9" ht="90" customHeight="1" x14ac:dyDescent="0.25">
      <c r="B6" s="63" t="s">
        <v>110</v>
      </c>
      <c r="C6" s="92" t="s">
        <v>97</v>
      </c>
      <c r="D6" s="66" t="s">
        <v>50</v>
      </c>
      <c r="E6" s="294" t="s">
        <v>52</v>
      </c>
      <c r="F6" s="295"/>
      <c r="G6" s="45" t="s">
        <v>0</v>
      </c>
      <c r="H6" s="91"/>
      <c r="I6" s="91"/>
    </row>
    <row r="7" spans="2:9" ht="34.5" customHeight="1" x14ac:dyDescent="0.25">
      <c r="B7" s="64"/>
      <c r="C7" s="67" t="s">
        <v>108</v>
      </c>
      <c r="D7" s="68">
        <v>1</v>
      </c>
      <c r="E7" s="296" t="s">
        <v>53</v>
      </c>
      <c r="F7" s="297"/>
      <c r="G7" s="300" t="s">
        <v>139</v>
      </c>
      <c r="H7" s="33"/>
      <c r="I7" s="34"/>
    </row>
    <row r="8" spans="2:9" ht="58.5" customHeight="1" x14ac:dyDescent="0.25">
      <c r="B8" s="64"/>
      <c r="C8" s="67"/>
      <c r="D8" s="68"/>
      <c r="E8" s="298"/>
      <c r="F8" s="299"/>
      <c r="G8" s="301"/>
      <c r="H8" s="35"/>
      <c r="I8" s="34"/>
    </row>
    <row r="9" spans="2:9" ht="39.75" customHeight="1" thickBot="1" x14ac:dyDescent="0.3">
      <c r="B9" s="65"/>
      <c r="C9" s="69"/>
      <c r="D9" s="104"/>
      <c r="E9" s="303" t="s">
        <v>51</v>
      </c>
      <c r="F9" s="304"/>
      <c r="G9" s="302"/>
      <c r="H9" s="35"/>
      <c r="I9" s="34"/>
    </row>
    <row r="11" spans="2:9" x14ac:dyDescent="0.25">
      <c r="B11" s="21" t="s">
        <v>28</v>
      </c>
      <c r="C11" s="32" t="s">
        <v>29</v>
      </c>
      <c r="D11" s="32" t="s">
        <v>18</v>
      </c>
      <c r="E11" s="32" t="s">
        <v>0</v>
      </c>
    </row>
    <row r="12" spans="2:9" x14ac:dyDescent="0.25">
      <c r="B12" s="36" t="s">
        <v>30</v>
      </c>
      <c r="C12" s="37">
        <v>5437884572</v>
      </c>
      <c r="D12" s="38">
        <f>+C12/828116</f>
        <v>6566.5734897043412</v>
      </c>
      <c r="E12" s="102"/>
    </row>
    <row r="13" spans="2:9" x14ac:dyDescent="0.25">
      <c r="B13" s="36" t="s">
        <v>38</v>
      </c>
      <c r="C13" s="37">
        <f>+C12*0.75</f>
        <v>4078413429</v>
      </c>
      <c r="D13" s="38">
        <f>+C13/828116</f>
        <v>4924.9301172782561</v>
      </c>
      <c r="E13" s="126" t="s">
        <v>0</v>
      </c>
    </row>
    <row r="14" spans="2:9" x14ac:dyDescent="0.25">
      <c r="B14" s="36" t="s">
        <v>39</v>
      </c>
      <c r="C14" s="37">
        <f>+C12*1.2</f>
        <v>6525461486.3999996</v>
      </c>
      <c r="D14" s="38">
        <f>+C14/828116</f>
        <v>7879.8881876452087</v>
      </c>
      <c r="E14" s="102"/>
    </row>
    <row r="15" spans="2:9" x14ac:dyDescent="0.25">
      <c r="B15" s="36" t="s">
        <v>40</v>
      </c>
      <c r="C15" s="37">
        <f>+C12*1.5</f>
        <v>8156826858</v>
      </c>
      <c r="D15" s="38">
        <f>+C15/828116</f>
        <v>9849.8602345565123</v>
      </c>
      <c r="E15" s="38"/>
    </row>
    <row r="17" spans="1:14" x14ac:dyDescent="0.25">
      <c r="B17" s="23" t="s">
        <v>31</v>
      </c>
      <c r="C17" s="23"/>
      <c r="D17" s="23"/>
    </row>
    <row r="18" spans="1:14" ht="30" x14ac:dyDescent="0.25">
      <c r="B18" s="32" t="s">
        <v>32</v>
      </c>
      <c r="C18" s="21" t="s">
        <v>33</v>
      </c>
      <c r="D18" s="32" t="s">
        <v>34</v>
      </c>
      <c r="E18" s="21" t="s">
        <v>54</v>
      </c>
      <c r="F18" s="21" t="s">
        <v>41</v>
      </c>
      <c r="G18" s="21" t="s">
        <v>42</v>
      </c>
      <c r="H18" s="21" t="s">
        <v>43</v>
      </c>
      <c r="I18" s="32" t="s">
        <v>17</v>
      </c>
    </row>
    <row r="19" spans="1:14" ht="124.5" customHeight="1" x14ac:dyDescent="0.25">
      <c r="A19" s="32">
        <v>1</v>
      </c>
      <c r="B19" s="93" t="s">
        <v>140</v>
      </c>
      <c r="C19" s="93" t="s">
        <v>150</v>
      </c>
      <c r="D19" s="94">
        <v>38</v>
      </c>
      <c r="E19" s="100" t="s">
        <v>142</v>
      </c>
      <c r="F19" s="96">
        <v>3872.17</v>
      </c>
      <c r="G19" s="97">
        <f t="shared" ref="G19:G20" si="0">+F19*828116</f>
        <v>3206605931.7200003</v>
      </c>
      <c r="H19" s="98" t="s">
        <v>148</v>
      </c>
      <c r="I19" s="98" t="s">
        <v>147</v>
      </c>
    </row>
    <row r="20" spans="1:14" ht="187.5" customHeight="1" x14ac:dyDescent="0.25">
      <c r="A20" s="32">
        <v>2</v>
      </c>
      <c r="B20" s="93" t="s">
        <v>141</v>
      </c>
      <c r="C20" s="93" t="s">
        <v>149</v>
      </c>
      <c r="D20" s="94">
        <v>42</v>
      </c>
      <c r="E20" s="100" t="s">
        <v>145</v>
      </c>
      <c r="F20" s="96">
        <v>3126.39</v>
      </c>
      <c r="G20" s="97">
        <f t="shared" si="0"/>
        <v>2589013581.2399998</v>
      </c>
      <c r="H20" s="98" t="s">
        <v>146</v>
      </c>
      <c r="I20" s="98" t="s">
        <v>135</v>
      </c>
    </row>
    <row r="21" spans="1:14" ht="173.25" customHeight="1" x14ac:dyDescent="0.25">
      <c r="A21" s="32">
        <v>3</v>
      </c>
      <c r="B21" s="93"/>
      <c r="C21" s="93"/>
      <c r="D21" s="94"/>
      <c r="E21" s="100"/>
      <c r="F21" s="101"/>
      <c r="G21" s="97"/>
      <c r="H21" s="98"/>
      <c r="I21" s="98"/>
    </row>
    <row r="22" spans="1:14" ht="174" customHeight="1" x14ac:dyDescent="0.25">
      <c r="A22" s="32">
        <v>4</v>
      </c>
      <c r="B22" s="93"/>
      <c r="C22" s="93"/>
      <c r="D22" s="94"/>
      <c r="E22" s="100"/>
      <c r="F22" s="101"/>
      <c r="G22" s="97"/>
      <c r="H22" s="98"/>
      <c r="I22" s="99"/>
    </row>
    <row r="23" spans="1:14" ht="148.5" customHeight="1" x14ac:dyDescent="0.25">
      <c r="A23" s="32">
        <v>5</v>
      </c>
      <c r="B23" s="93"/>
      <c r="C23" s="93"/>
      <c r="D23" s="2"/>
      <c r="E23" s="100"/>
      <c r="F23" s="101"/>
      <c r="G23" s="97"/>
      <c r="H23" s="24"/>
      <c r="I23" s="99"/>
    </row>
    <row r="24" spans="1:14" ht="201.75" customHeight="1" x14ac:dyDescent="0.25">
      <c r="A24" s="32">
        <v>6</v>
      </c>
      <c r="B24" s="2"/>
      <c r="C24" s="100"/>
      <c r="D24" s="2"/>
      <c r="E24" s="100"/>
      <c r="F24" s="101"/>
      <c r="G24" s="97"/>
      <c r="H24" s="24"/>
      <c r="I24" s="99"/>
    </row>
    <row r="25" spans="1:14" x14ac:dyDescent="0.25">
      <c r="B25" s="2"/>
      <c r="D25" s="2"/>
      <c r="E25" s="32" t="s">
        <v>35</v>
      </c>
      <c r="F25" s="25">
        <f>SUM(F19:F24)</f>
        <v>6998.5599999999995</v>
      </c>
      <c r="G25" s="40">
        <f>SUM(G19:G24)</f>
        <v>5795619512.96</v>
      </c>
      <c r="H25" s="26"/>
    </row>
    <row r="26" spans="1:14" x14ac:dyDescent="0.25">
      <c r="B26" s="34"/>
      <c r="D26" s="34"/>
      <c r="E26" s="42" t="s">
        <v>18</v>
      </c>
      <c r="F26" s="43"/>
      <c r="G26" s="44">
        <f>+G25/828116</f>
        <v>6998.56</v>
      </c>
      <c r="H26" s="41"/>
    </row>
    <row r="28" spans="1:14" ht="43.5" customHeight="1" x14ac:dyDescent="0.25">
      <c r="B28" s="305" t="s">
        <v>44</v>
      </c>
      <c r="C28" s="305"/>
      <c r="D28" s="305"/>
      <c r="E28" s="305"/>
      <c r="F28" s="305"/>
      <c r="G28" s="305"/>
      <c r="H28" s="306"/>
      <c r="I28" s="306"/>
      <c r="J28" s="306"/>
      <c r="K28" s="306"/>
      <c r="L28" s="306"/>
      <c r="M28" s="306"/>
      <c r="N28" s="306"/>
    </row>
    <row r="29" spans="1:14" ht="31.5" customHeight="1" x14ac:dyDescent="0.25">
      <c r="B29" s="307" t="s">
        <v>45</v>
      </c>
      <c r="C29" s="307"/>
      <c r="D29" s="307"/>
      <c r="E29" s="307"/>
      <c r="F29" s="307"/>
      <c r="G29" s="307"/>
      <c r="H29" s="308"/>
      <c r="I29" s="308"/>
      <c r="J29" s="308"/>
      <c r="K29" s="308"/>
      <c r="L29" s="308"/>
      <c r="M29" s="308"/>
      <c r="N29" s="308"/>
    </row>
    <row r="30" spans="1:14" ht="31.5" customHeight="1" x14ac:dyDescent="0.25">
      <c r="B30" s="307" t="s">
        <v>46</v>
      </c>
      <c r="C30" s="307"/>
      <c r="D30" s="307"/>
      <c r="E30" s="307"/>
      <c r="F30" s="307"/>
      <c r="G30" s="307"/>
      <c r="H30" s="309"/>
      <c r="I30" s="309"/>
      <c r="J30" s="309"/>
      <c r="K30" s="309"/>
      <c r="L30" s="309"/>
      <c r="M30" s="309"/>
      <c r="N30" s="309"/>
    </row>
    <row r="31" spans="1:14" ht="34.5" customHeight="1" x14ac:dyDescent="0.25">
      <c r="B31" s="307" t="s">
        <v>47</v>
      </c>
      <c r="C31" s="310"/>
      <c r="D31" s="310"/>
      <c r="E31" s="310"/>
      <c r="F31" s="310"/>
      <c r="G31" s="310"/>
      <c r="H31" s="309"/>
      <c r="I31" s="309"/>
      <c r="J31" s="309"/>
      <c r="K31" s="309"/>
      <c r="L31" s="309"/>
      <c r="M31" s="309"/>
      <c r="N31" s="309"/>
    </row>
    <row r="32" spans="1:14" ht="34.5" customHeight="1" x14ac:dyDescent="0.25">
      <c r="B32" s="307" t="s">
        <v>48</v>
      </c>
      <c r="C32" s="310"/>
      <c r="D32" s="310"/>
      <c r="E32" s="310"/>
      <c r="F32" s="310"/>
      <c r="G32" s="310"/>
      <c r="H32" s="309"/>
      <c r="I32" s="309"/>
      <c r="J32" s="309"/>
      <c r="K32" s="309"/>
      <c r="L32" s="309"/>
      <c r="M32" s="309"/>
      <c r="N32" s="309"/>
    </row>
    <row r="33" spans="2:10" x14ac:dyDescent="0.25">
      <c r="B33" s="27"/>
      <c r="G33" s="28"/>
    </row>
    <row r="37" spans="2:10" x14ac:dyDescent="0.25">
      <c r="B37" s="103"/>
    </row>
    <row r="38" spans="2:10" x14ac:dyDescent="0.25">
      <c r="B38" s="73"/>
    </row>
    <row r="39" spans="2:10" x14ac:dyDescent="0.25">
      <c r="B39" s="314" t="s">
        <v>49</v>
      </c>
      <c r="C39" s="314"/>
      <c r="D39" s="314"/>
    </row>
    <row r="42" spans="2:10" x14ac:dyDescent="0.25">
      <c r="H42" s="29"/>
      <c r="I42" s="30"/>
      <c r="J42" s="31"/>
    </row>
    <row r="43" spans="2:10" x14ac:dyDescent="0.25">
      <c r="H43" s="29"/>
      <c r="I43" s="30"/>
      <c r="J43" s="31"/>
    </row>
  </sheetData>
  <mergeCells count="18">
    <mergeCell ref="B31:G31"/>
    <mergeCell ref="H31:N31"/>
    <mergeCell ref="B32:G32"/>
    <mergeCell ref="H32:N32"/>
    <mergeCell ref="B39:D39"/>
    <mergeCell ref="B28:G28"/>
    <mergeCell ref="H28:N28"/>
    <mergeCell ref="B29:G29"/>
    <mergeCell ref="H29:N29"/>
    <mergeCell ref="B30:G30"/>
    <mergeCell ref="H30:N30"/>
    <mergeCell ref="B2:I2"/>
    <mergeCell ref="B3:I3"/>
    <mergeCell ref="B4:I4"/>
    <mergeCell ref="E6:F6"/>
    <mergeCell ref="E7:F8"/>
    <mergeCell ref="G7:G9"/>
    <mergeCell ref="E9:F9"/>
  </mergeCells>
  <pageMargins left="0.7" right="0.7" top="0.75" bottom="0.75" header="0.3" footer="0.3"/>
  <pageSetup scale="37" orientation="portrait" r:id="rId1"/>
  <colBreaks count="1" manualBreakCount="1">
    <brk id="9"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2:N43"/>
  <sheetViews>
    <sheetView view="pageBreakPreview" topLeftCell="A22" zoomScale="60" zoomScaleNormal="65" workbookViewId="0">
      <selection activeCell="B37" sqref="B37:B38"/>
    </sheetView>
  </sheetViews>
  <sheetFormatPr baseColWidth="10" defaultRowHeight="15" x14ac:dyDescent="0.25"/>
  <cols>
    <col min="1" max="1" width="7.5703125" style="20" customWidth="1"/>
    <col min="2" max="2" width="25.5703125" style="22" customWidth="1"/>
    <col min="3" max="3" width="30" style="22" customWidth="1"/>
    <col min="4" max="4" width="18.7109375" style="20" customWidth="1"/>
    <col min="5" max="5" width="38" style="20" customWidth="1"/>
    <col min="6" max="6" width="25.140625" style="20" customWidth="1"/>
    <col min="7" max="7" width="30.85546875" style="20" customWidth="1"/>
    <col min="8" max="8" width="17.5703125" style="20" customWidth="1"/>
    <col min="9" max="9" width="50.28515625" style="20" customWidth="1"/>
    <col min="10" max="10" width="11.42578125" style="20"/>
    <col min="11" max="11" width="12.28515625" style="20" bestFit="1" customWidth="1"/>
    <col min="12" max="12" width="11.42578125" style="20"/>
    <col min="13" max="13" width="10.85546875" style="20" bestFit="1" customWidth="1"/>
    <col min="14" max="14" width="6.28515625" style="20" customWidth="1"/>
    <col min="15" max="16384" width="11.42578125" style="20"/>
  </cols>
  <sheetData>
    <row r="2" spans="2:9" ht="23.25" x14ac:dyDescent="0.25">
      <c r="B2" s="293" t="s">
        <v>26</v>
      </c>
      <c r="C2" s="293"/>
      <c r="D2" s="293"/>
      <c r="E2" s="293"/>
      <c r="F2" s="293"/>
      <c r="G2" s="293"/>
      <c r="H2" s="293"/>
      <c r="I2" s="293"/>
    </row>
    <row r="3" spans="2:9" ht="23.25" x14ac:dyDescent="0.25">
      <c r="B3" s="293" t="s">
        <v>37</v>
      </c>
      <c r="C3" s="293"/>
      <c r="D3" s="293"/>
      <c r="E3" s="293"/>
      <c r="F3" s="293"/>
      <c r="G3" s="293"/>
      <c r="H3" s="293"/>
      <c r="I3" s="293"/>
    </row>
    <row r="4" spans="2:9" ht="23.25" x14ac:dyDescent="0.25">
      <c r="B4" s="293" t="s">
        <v>27</v>
      </c>
      <c r="C4" s="293"/>
      <c r="D4" s="293"/>
      <c r="E4" s="293"/>
      <c r="F4" s="293"/>
      <c r="G4" s="293"/>
      <c r="H4" s="293"/>
      <c r="I4" s="293"/>
    </row>
    <row r="5" spans="2:9" ht="15.75" thickBot="1" x14ac:dyDescent="0.3"/>
    <row r="6" spans="2:9" ht="90" customHeight="1" x14ac:dyDescent="0.25">
      <c r="B6" s="63" t="s">
        <v>110</v>
      </c>
      <c r="C6" s="92" t="s">
        <v>97</v>
      </c>
      <c r="D6" s="66" t="s">
        <v>50</v>
      </c>
      <c r="E6" s="294" t="s">
        <v>52</v>
      </c>
      <c r="F6" s="295"/>
      <c r="G6" s="45" t="s">
        <v>0</v>
      </c>
      <c r="H6" s="91"/>
      <c r="I6" s="91"/>
    </row>
    <row r="7" spans="2:9" ht="34.5" customHeight="1" x14ac:dyDescent="0.25">
      <c r="B7" s="64"/>
      <c r="C7" s="67" t="s">
        <v>107</v>
      </c>
      <c r="D7" s="68">
        <v>1</v>
      </c>
      <c r="E7" s="296" t="s">
        <v>53</v>
      </c>
      <c r="F7" s="297"/>
      <c r="G7" s="300" t="s">
        <v>139</v>
      </c>
      <c r="H7" s="33"/>
      <c r="I7" s="34"/>
    </row>
    <row r="8" spans="2:9" ht="58.5" customHeight="1" x14ac:dyDescent="0.25">
      <c r="B8" s="64"/>
      <c r="C8" s="67"/>
      <c r="D8" s="68"/>
      <c r="E8" s="298"/>
      <c r="F8" s="299"/>
      <c r="G8" s="301"/>
      <c r="H8" s="35"/>
      <c r="I8" s="34"/>
    </row>
    <row r="9" spans="2:9" ht="39.75" customHeight="1" thickBot="1" x14ac:dyDescent="0.3">
      <c r="B9" s="65"/>
      <c r="C9" s="69"/>
      <c r="D9" s="68"/>
      <c r="E9" s="303" t="s">
        <v>51</v>
      </c>
      <c r="F9" s="304"/>
      <c r="G9" s="302"/>
      <c r="H9" s="35"/>
      <c r="I9" s="34"/>
    </row>
    <row r="11" spans="2:9" x14ac:dyDescent="0.25">
      <c r="B11" s="21" t="s">
        <v>28</v>
      </c>
      <c r="C11" s="32" t="s">
        <v>29</v>
      </c>
      <c r="D11" s="32" t="s">
        <v>18</v>
      </c>
      <c r="E11" s="32" t="s">
        <v>0</v>
      </c>
    </row>
    <row r="12" spans="2:9" x14ac:dyDescent="0.25">
      <c r="B12" s="36" t="s">
        <v>30</v>
      </c>
      <c r="C12" s="37">
        <v>5437884572</v>
      </c>
      <c r="D12" s="38">
        <f>+C12/828116</f>
        <v>6566.5734897043412</v>
      </c>
      <c r="E12" s="38"/>
    </row>
    <row r="13" spans="2:9" x14ac:dyDescent="0.25">
      <c r="B13" s="36" t="s">
        <v>38</v>
      </c>
      <c r="C13" s="37">
        <f>+C12*0.75</f>
        <v>4078413429</v>
      </c>
      <c r="D13" s="38">
        <f>+C13/828116</f>
        <v>4924.9301172782561</v>
      </c>
      <c r="E13" s="126" t="s">
        <v>0</v>
      </c>
    </row>
    <row r="14" spans="2:9" x14ac:dyDescent="0.25">
      <c r="B14" s="36" t="s">
        <v>39</v>
      </c>
      <c r="C14" s="37">
        <f>+C12*1.2</f>
        <v>6525461486.3999996</v>
      </c>
      <c r="D14" s="38">
        <f>+C14/828116</f>
        <v>7879.8881876452087</v>
      </c>
      <c r="E14" s="102"/>
    </row>
    <row r="15" spans="2:9" x14ac:dyDescent="0.25">
      <c r="B15" s="36" t="s">
        <v>40</v>
      </c>
      <c r="C15" s="37">
        <f>+C12*1.5</f>
        <v>8156826858</v>
      </c>
      <c r="D15" s="38">
        <f>+C15/828116</f>
        <v>9849.8602345565123</v>
      </c>
      <c r="E15" s="38"/>
    </row>
    <row r="17" spans="1:14" x14ac:dyDescent="0.25">
      <c r="B17" s="23" t="s">
        <v>31</v>
      </c>
      <c r="C17" s="23"/>
      <c r="D17" s="23"/>
    </row>
    <row r="18" spans="1:14" ht="30" x14ac:dyDescent="0.25">
      <c r="B18" s="32" t="s">
        <v>32</v>
      </c>
      <c r="C18" s="21" t="s">
        <v>33</v>
      </c>
      <c r="D18" s="32" t="s">
        <v>34</v>
      </c>
      <c r="E18" s="21" t="s">
        <v>54</v>
      </c>
      <c r="F18" s="21" t="s">
        <v>41</v>
      </c>
      <c r="G18" s="21" t="s">
        <v>42</v>
      </c>
      <c r="H18" s="21" t="s">
        <v>43</v>
      </c>
      <c r="I18" s="32" t="s">
        <v>17</v>
      </c>
    </row>
    <row r="19" spans="1:14" ht="124.5" customHeight="1" x14ac:dyDescent="0.25">
      <c r="A19" s="32">
        <v>1</v>
      </c>
      <c r="B19" s="93" t="s">
        <v>152</v>
      </c>
      <c r="C19" s="93" t="s">
        <v>156</v>
      </c>
      <c r="D19" s="94">
        <v>127</v>
      </c>
      <c r="E19" s="100" t="s">
        <v>151</v>
      </c>
      <c r="F19" s="96">
        <v>2714.41</v>
      </c>
      <c r="G19" s="97">
        <f t="shared" ref="G19:G20" si="0">+F19*828116</f>
        <v>2247846351.5599999</v>
      </c>
      <c r="H19" s="98" t="s">
        <v>158</v>
      </c>
      <c r="I19" s="98" t="s">
        <v>147</v>
      </c>
    </row>
    <row r="20" spans="1:14" ht="187.5" customHeight="1" x14ac:dyDescent="0.25">
      <c r="A20" s="32">
        <v>2</v>
      </c>
      <c r="B20" s="93" t="s">
        <v>153</v>
      </c>
      <c r="C20" s="93" t="s">
        <v>159</v>
      </c>
      <c r="D20" s="94">
        <v>126</v>
      </c>
      <c r="E20" s="100" t="s">
        <v>154</v>
      </c>
      <c r="F20" s="96">
        <v>3659.94</v>
      </c>
      <c r="G20" s="97">
        <f t="shared" si="0"/>
        <v>3030854873.04</v>
      </c>
      <c r="H20" s="98" t="s">
        <v>157</v>
      </c>
      <c r="I20" s="98" t="s">
        <v>155</v>
      </c>
    </row>
    <row r="21" spans="1:14" ht="173.25" customHeight="1" x14ac:dyDescent="0.25">
      <c r="A21" s="32">
        <v>3</v>
      </c>
      <c r="B21" s="93"/>
      <c r="C21" s="214"/>
      <c r="D21" s="94"/>
      <c r="E21" s="100"/>
      <c r="F21" s="101"/>
      <c r="G21" s="97"/>
      <c r="H21" s="98"/>
      <c r="I21" s="99"/>
    </row>
    <row r="22" spans="1:14" ht="174" customHeight="1" x14ac:dyDescent="0.25">
      <c r="A22" s="32">
        <v>4</v>
      </c>
      <c r="B22" s="93"/>
      <c r="C22" s="95"/>
      <c r="D22" s="94"/>
      <c r="E22" s="100"/>
      <c r="F22" s="101"/>
      <c r="G22" s="97"/>
      <c r="H22" s="98"/>
      <c r="I22" s="99"/>
    </row>
    <row r="23" spans="1:14" ht="148.5" customHeight="1" x14ac:dyDescent="0.25">
      <c r="A23" s="32">
        <v>5</v>
      </c>
      <c r="B23" s="93"/>
      <c r="C23" s="95"/>
      <c r="D23" s="2"/>
      <c r="E23" s="100"/>
      <c r="F23" s="101"/>
      <c r="G23" s="97"/>
      <c r="H23" s="24"/>
      <c r="I23" s="99"/>
    </row>
    <row r="24" spans="1:14" ht="201.75" customHeight="1" x14ac:dyDescent="0.25">
      <c r="A24" s="32">
        <v>6</v>
      </c>
      <c r="B24" s="2"/>
      <c r="C24" s="100"/>
      <c r="D24" s="2"/>
      <c r="E24" s="100"/>
      <c r="F24" s="101"/>
      <c r="G24" s="97"/>
      <c r="H24" s="24"/>
      <c r="I24" s="99"/>
    </row>
    <row r="25" spans="1:14" x14ac:dyDescent="0.25">
      <c r="B25" s="2"/>
      <c r="D25" s="2"/>
      <c r="E25" s="32" t="s">
        <v>35</v>
      </c>
      <c r="F25" s="25">
        <f>SUM(F19:F24)</f>
        <v>6374.35</v>
      </c>
      <c r="G25" s="40">
        <f>SUM(G19:G24)</f>
        <v>5278701224.6000004</v>
      </c>
      <c r="H25" s="26"/>
    </row>
    <row r="26" spans="1:14" x14ac:dyDescent="0.25">
      <c r="B26" s="34"/>
      <c r="D26" s="34"/>
      <c r="E26" s="42" t="s">
        <v>18</v>
      </c>
      <c r="F26" s="43"/>
      <c r="G26" s="44">
        <f>+G25/828116</f>
        <v>6374.35</v>
      </c>
      <c r="H26" s="41"/>
    </row>
    <row r="28" spans="1:14" ht="43.5" customHeight="1" x14ac:dyDescent="0.25">
      <c r="B28" s="305" t="s">
        <v>44</v>
      </c>
      <c r="C28" s="305"/>
      <c r="D28" s="305"/>
      <c r="E28" s="305"/>
      <c r="F28" s="305"/>
      <c r="G28" s="305"/>
      <c r="H28" s="306"/>
      <c r="I28" s="306"/>
      <c r="J28" s="306"/>
      <c r="K28" s="306"/>
      <c r="L28" s="306"/>
      <c r="M28" s="306"/>
      <c r="N28" s="306"/>
    </row>
    <row r="29" spans="1:14" ht="31.5" customHeight="1" x14ac:dyDescent="0.25">
      <c r="B29" s="307" t="s">
        <v>45</v>
      </c>
      <c r="C29" s="307"/>
      <c r="D29" s="307"/>
      <c r="E29" s="307"/>
      <c r="F29" s="307"/>
      <c r="G29" s="307"/>
      <c r="H29" s="308"/>
      <c r="I29" s="308"/>
      <c r="J29" s="308"/>
      <c r="K29" s="308"/>
      <c r="L29" s="308"/>
      <c r="M29" s="308"/>
      <c r="N29" s="308"/>
    </row>
    <row r="30" spans="1:14" ht="31.5" customHeight="1" x14ac:dyDescent="0.25">
      <c r="B30" s="307" t="s">
        <v>46</v>
      </c>
      <c r="C30" s="307"/>
      <c r="D30" s="307"/>
      <c r="E30" s="307"/>
      <c r="F30" s="307"/>
      <c r="G30" s="307"/>
      <c r="H30" s="309"/>
      <c r="I30" s="309"/>
      <c r="J30" s="309"/>
      <c r="K30" s="309"/>
      <c r="L30" s="309"/>
      <c r="M30" s="309"/>
      <c r="N30" s="309"/>
    </row>
    <row r="31" spans="1:14" ht="34.5" customHeight="1" x14ac:dyDescent="0.25">
      <c r="B31" s="307" t="s">
        <v>47</v>
      </c>
      <c r="C31" s="310"/>
      <c r="D31" s="310"/>
      <c r="E31" s="310"/>
      <c r="F31" s="310"/>
      <c r="G31" s="310"/>
      <c r="H31" s="309"/>
      <c r="I31" s="309"/>
      <c r="J31" s="309"/>
      <c r="K31" s="309"/>
      <c r="L31" s="309"/>
      <c r="M31" s="309"/>
      <c r="N31" s="309"/>
    </row>
    <row r="32" spans="1:14" ht="34.5" customHeight="1" x14ac:dyDescent="0.25">
      <c r="B32" s="307" t="s">
        <v>48</v>
      </c>
      <c r="C32" s="310"/>
      <c r="D32" s="310"/>
      <c r="E32" s="310"/>
      <c r="F32" s="310"/>
      <c r="G32" s="310"/>
      <c r="H32" s="309"/>
      <c r="I32" s="309"/>
      <c r="J32" s="309"/>
      <c r="K32" s="309"/>
      <c r="L32" s="309"/>
      <c r="M32" s="309"/>
      <c r="N32" s="309"/>
    </row>
    <row r="33" spans="2:10" x14ac:dyDescent="0.25">
      <c r="B33" s="27"/>
      <c r="G33" s="28"/>
    </row>
    <row r="37" spans="2:10" x14ac:dyDescent="0.25">
      <c r="B37" s="103"/>
    </row>
    <row r="38" spans="2:10" x14ac:dyDescent="0.25">
      <c r="B38" s="73"/>
    </row>
    <row r="39" spans="2:10" x14ac:dyDescent="0.25">
      <c r="B39" s="314" t="s">
        <v>49</v>
      </c>
      <c r="C39" s="314"/>
      <c r="D39" s="314"/>
    </row>
    <row r="42" spans="2:10" x14ac:dyDescent="0.25">
      <c r="H42" s="29"/>
      <c r="I42" s="30"/>
      <c r="J42" s="31"/>
    </row>
    <row r="43" spans="2:10" x14ac:dyDescent="0.25">
      <c r="H43" s="29"/>
      <c r="I43" s="30"/>
      <c r="J43" s="31"/>
    </row>
  </sheetData>
  <mergeCells count="18">
    <mergeCell ref="B31:G31"/>
    <mergeCell ref="H31:N31"/>
    <mergeCell ref="B32:G32"/>
    <mergeCell ref="H32:N32"/>
    <mergeCell ref="B39:D39"/>
    <mergeCell ref="B28:G28"/>
    <mergeCell ref="H28:N28"/>
    <mergeCell ref="B29:G29"/>
    <mergeCell ref="H29:N29"/>
    <mergeCell ref="B30:G30"/>
    <mergeCell ref="H30:N30"/>
    <mergeCell ref="B2:I2"/>
    <mergeCell ref="B3:I3"/>
    <mergeCell ref="B4:I4"/>
    <mergeCell ref="E6:F6"/>
    <mergeCell ref="E7:F8"/>
    <mergeCell ref="G7:G9"/>
    <mergeCell ref="E9:F9"/>
  </mergeCells>
  <pageMargins left="0.7" right="0.7" top="0.75" bottom="0.75" header="0.3" footer="0.3"/>
  <pageSetup scale="37" orientation="portrait" r:id="rId1"/>
  <colBreaks count="1" manualBreakCount="1">
    <brk id="9"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2:N43"/>
  <sheetViews>
    <sheetView view="pageBreakPreview" topLeftCell="A21" zoomScale="60" zoomScaleNormal="65" workbookViewId="0">
      <selection activeCell="B37" sqref="B37:B38"/>
    </sheetView>
  </sheetViews>
  <sheetFormatPr baseColWidth="10" defaultRowHeight="15" x14ac:dyDescent="0.25"/>
  <cols>
    <col min="1" max="1" width="7.5703125" style="20" customWidth="1"/>
    <col min="2" max="2" width="25.5703125" style="22" customWidth="1"/>
    <col min="3" max="3" width="30" style="22" customWidth="1"/>
    <col min="4" max="4" width="18.7109375" style="20" customWidth="1"/>
    <col min="5" max="5" width="38" style="20" customWidth="1"/>
    <col min="6" max="6" width="25.140625" style="20" customWidth="1"/>
    <col min="7" max="7" width="30.85546875" style="20" customWidth="1"/>
    <col min="8" max="8" width="17.5703125" style="20" customWidth="1"/>
    <col min="9" max="9" width="50.28515625" style="20" customWidth="1"/>
    <col min="10" max="10" width="11.42578125" style="20"/>
    <col min="11" max="11" width="12.28515625" style="20" bestFit="1" customWidth="1"/>
    <col min="12" max="12" width="11.42578125" style="20"/>
    <col min="13" max="13" width="10.85546875" style="20" bestFit="1" customWidth="1"/>
    <col min="14" max="14" width="6.28515625" style="20" customWidth="1"/>
    <col min="15" max="16384" width="11.42578125" style="20"/>
  </cols>
  <sheetData>
    <row r="2" spans="2:9" ht="23.25" x14ac:dyDescent="0.25">
      <c r="B2" s="293" t="s">
        <v>26</v>
      </c>
      <c r="C2" s="293"/>
      <c r="D2" s="293"/>
      <c r="E2" s="293"/>
      <c r="F2" s="293"/>
      <c r="G2" s="293"/>
      <c r="H2" s="293"/>
      <c r="I2" s="293"/>
    </row>
    <row r="3" spans="2:9" ht="23.25" x14ac:dyDescent="0.25">
      <c r="B3" s="293" t="s">
        <v>37</v>
      </c>
      <c r="C3" s="293"/>
      <c r="D3" s="293"/>
      <c r="E3" s="293"/>
      <c r="F3" s="293"/>
      <c r="G3" s="293"/>
      <c r="H3" s="293"/>
      <c r="I3" s="293"/>
    </row>
    <row r="4" spans="2:9" ht="23.25" x14ac:dyDescent="0.25">
      <c r="B4" s="293" t="s">
        <v>27</v>
      </c>
      <c r="C4" s="293"/>
      <c r="D4" s="293"/>
      <c r="E4" s="293"/>
      <c r="F4" s="293"/>
      <c r="G4" s="293"/>
      <c r="H4" s="293"/>
      <c r="I4" s="293"/>
    </row>
    <row r="5" spans="2:9" ht="15.75" thickBot="1" x14ac:dyDescent="0.3"/>
    <row r="6" spans="2:9" ht="90" customHeight="1" x14ac:dyDescent="0.25">
      <c r="B6" s="63" t="s">
        <v>110</v>
      </c>
      <c r="C6" s="92" t="s">
        <v>97</v>
      </c>
      <c r="D6" s="66" t="s">
        <v>50</v>
      </c>
      <c r="E6" s="294" t="s">
        <v>52</v>
      </c>
      <c r="F6" s="295"/>
      <c r="G6" s="45" t="s">
        <v>0</v>
      </c>
      <c r="H6" s="91"/>
      <c r="I6" s="91"/>
    </row>
    <row r="7" spans="2:9" ht="34.5" customHeight="1" x14ac:dyDescent="0.25">
      <c r="B7" s="64"/>
      <c r="C7" s="67" t="s">
        <v>106</v>
      </c>
      <c r="D7" s="68">
        <v>1</v>
      </c>
      <c r="E7" s="296" t="s">
        <v>53</v>
      </c>
      <c r="F7" s="297"/>
      <c r="G7" s="300" t="s">
        <v>139</v>
      </c>
      <c r="H7" s="33"/>
      <c r="I7" s="34"/>
    </row>
    <row r="8" spans="2:9" ht="58.5" customHeight="1" x14ac:dyDescent="0.25">
      <c r="B8" s="64"/>
      <c r="C8" s="67"/>
      <c r="D8" s="68"/>
      <c r="E8" s="298"/>
      <c r="F8" s="299"/>
      <c r="G8" s="301"/>
      <c r="H8" s="35"/>
      <c r="I8" s="34"/>
    </row>
    <row r="9" spans="2:9" ht="39.75" customHeight="1" thickBot="1" x14ac:dyDescent="0.3">
      <c r="B9" s="65"/>
      <c r="C9" s="69"/>
      <c r="D9" s="68"/>
      <c r="E9" s="303" t="s">
        <v>51</v>
      </c>
      <c r="F9" s="304"/>
      <c r="G9" s="302"/>
      <c r="H9" s="35"/>
      <c r="I9" s="34"/>
    </row>
    <row r="11" spans="2:9" x14ac:dyDescent="0.25">
      <c r="B11" s="21" t="s">
        <v>28</v>
      </c>
      <c r="C11" s="32" t="s">
        <v>29</v>
      </c>
      <c r="D11" s="32" t="s">
        <v>18</v>
      </c>
      <c r="E11" s="32" t="s">
        <v>0</v>
      </c>
    </row>
    <row r="12" spans="2:9" x14ac:dyDescent="0.25">
      <c r="B12" s="36" t="s">
        <v>30</v>
      </c>
      <c r="C12" s="37">
        <v>5437884572</v>
      </c>
      <c r="D12" s="38">
        <f>+C12/828116</f>
        <v>6566.5734897043412</v>
      </c>
      <c r="E12" s="38"/>
    </row>
    <row r="13" spans="2:9" x14ac:dyDescent="0.25">
      <c r="B13" s="36" t="s">
        <v>38</v>
      </c>
      <c r="C13" s="37">
        <f>+C12*0.75</f>
        <v>4078413429</v>
      </c>
      <c r="D13" s="38">
        <f>+C13/828116</f>
        <v>4924.9301172782561</v>
      </c>
      <c r="E13" s="126" t="s">
        <v>0</v>
      </c>
    </row>
    <row r="14" spans="2:9" x14ac:dyDescent="0.25">
      <c r="B14" s="36" t="s">
        <v>39</v>
      </c>
      <c r="C14" s="37">
        <f>+C12*1.2</f>
        <v>6525461486.3999996</v>
      </c>
      <c r="D14" s="38">
        <f>+C14/828116</f>
        <v>7879.8881876452087</v>
      </c>
      <c r="E14" s="102"/>
    </row>
    <row r="15" spans="2:9" x14ac:dyDescent="0.25">
      <c r="B15" s="36" t="s">
        <v>40</v>
      </c>
      <c r="C15" s="37">
        <f>+C12*1.5</f>
        <v>8156826858</v>
      </c>
      <c r="D15" s="38">
        <f>+C15/828116</f>
        <v>9849.8602345565123</v>
      </c>
      <c r="E15" s="38"/>
    </row>
    <row r="17" spans="1:14" x14ac:dyDescent="0.25">
      <c r="B17" s="23" t="s">
        <v>31</v>
      </c>
      <c r="C17" s="23"/>
      <c r="D17" s="23"/>
    </row>
    <row r="18" spans="1:14" ht="30" x14ac:dyDescent="0.25">
      <c r="B18" s="32" t="s">
        <v>32</v>
      </c>
      <c r="C18" s="21" t="s">
        <v>33</v>
      </c>
      <c r="D18" s="32" t="s">
        <v>34</v>
      </c>
      <c r="E18" s="21" t="s">
        <v>54</v>
      </c>
      <c r="F18" s="21" t="s">
        <v>41</v>
      </c>
      <c r="G18" s="21" t="s">
        <v>42</v>
      </c>
      <c r="H18" s="21" t="s">
        <v>43</v>
      </c>
      <c r="I18" s="32" t="s">
        <v>17</v>
      </c>
    </row>
    <row r="19" spans="1:14" ht="189.75" customHeight="1" x14ac:dyDescent="0.25">
      <c r="A19" s="32">
        <v>1</v>
      </c>
      <c r="B19" s="93" t="s">
        <v>171</v>
      </c>
      <c r="C19" s="107">
        <v>0.48499999999999999</v>
      </c>
      <c r="D19" s="94">
        <v>13</v>
      </c>
      <c r="E19" s="100" t="s">
        <v>169</v>
      </c>
      <c r="F19" s="96">
        <v>12340.96</v>
      </c>
      <c r="G19" s="97">
        <f t="shared" ref="G19:G20" si="0">+F19*828116</f>
        <v>10219746431.359999</v>
      </c>
      <c r="H19" s="98" t="s">
        <v>173</v>
      </c>
      <c r="I19" s="99" t="s">
        <v>127</v>
      </c>
    </row>
    <row r="20" spans="1:14" ht="187.5" customHeight="1" x14ac:dyDescent="0.25">
      <c r="A20" s="32">
        <v>2</v>
      </c>
      <c r="B20" s="93" t="s">
        <v>172</v>
      </c>
      <c r="C20" s="107">
        <v>0.15</v>
      </c>
      <c r="D20" s="94">
        <v>19</v>
      </c>
      <c r="E20" s="100" t="s">
        <v>170</v>
      </c>
      <c r="F20" s="96">
        <v>4568.83</v>
      </c>
      <c r="G20" s="97">
        <f t="shared" si="0"/>
        <v>3783521224.2799997</v>
      </c>
      <c r="H20" s="98" t="s">
        <v>173</v>
      </c>
      <c r="I20" s="99" t="s">
        <v>127</v>
      </c>
    </row>
    <row r="21" spans="1:14" ht="120" customHeight="1" x14ac:dyDescent="0.25">
      <c r="A21" s="32">
        <v>3</v>
      </c>
      <c r="B21" s="93"/>
      <c r="C21" s="95"/>
      <c r="D21" s="94"/>
      <c r="E21" s="100"/>
      <c r="F21" s="101"/>
      <c r="G21" s="97"/>
      <c r="H21" s="98"/>
      <c r="I21" s="99"/>
    </row>
    <row r="22" spans="1:14" ht="116.25" customHeight="1" x14ac:dyDescent="0.25">
      <c r="A22" s="32">
        <v>4</v>
      </c>
      <c r="B22" s="93"/>
      <c r="C22" s="95"/>
      <c r="D22" s="94"/>
      <c r="E22" s="100"/>
      <c r="F22" s="101"/>
      <c r="G22" s="97"/>
      <c r="H22" s="98"/>
      <c r="I22" s="99"/>
    </row>
    <row r="23" spans="1:14" ht="148.5" customHeight="1" x14ac:dyDescent="0.25">
      <c r="A23" s="32">
        <v>5</v>
      </c>
      <c r="B23" s="93"/>
      <c r="C23" s="95"/>
      <c r="D23" s="2"/>
      <c r="E23" s="100"/>
      <c r="F23" s="101"/>
      <c r="G23" s="97"/>
      <c r="H23" s="24"/>
      <c r="I23" s="99"/>
    </row>
    <row r="24" spans="1:14" ht="201.75" customHeight="1" x14ac:dyDescent="0.25">
      <c r="A24" s="32">
        <v>6</v>
      </c>
      <c r="B24" s="2"/>
      <c r="C24" s="100"/>
      <c r="D24" s="2"/>
      <c r="E24" s="100"/>
      <c r="F24" s="101"/>
      <c r="G24" s="97"/>
      <c r="H24" s="24"/>
      <c r="I24" s="99"/>
    </row>
    <row r="25" spans="1:14" x14ac:dyDescent="0.25">
      <c r="B25" s="2"/>
      <c r="D25" s="2"/>
      <c r="E25" s="32" t="s">
        <v>35</v>
      </c>
      <c r="F25" s="25">
        <f>SUM(F19:F24)</f>
        <v>16909.79</v>
      </c>
      <c r="G25" s="40">
        <f>SUM(G19:G24)</f>
        <v>14003267655.639999</v>
      </c>
      <c r="H25" s="26"/>
    </row>
    <row r="26" spans="1:14" x14ac:dyDescent="0.25">
      <c r="B26" s="34"/>
      <c r="D26" s="34"/>
      <c r="E26" s="42" t="s">
        <v>18</v>
      </c>
      <c r="F26" s="43"/>
      <c r="G26" s="44">
        <f>+G25/828116</f>
        <v>16909.79</v>
      </c>
      <c r="H26" s="41"/>
    </row>
    <row r="28" spans="1:14" ht="43.5" customHeight="1" x14ac:dyDescent="0.25">
      <c r="B28" s="305" t="s">
        <v>44</v>
      </c>
      <c r="C28" s="305"/>
      <c r="D28" s="305"/>
      <c r="E28" s="305"/>
      <c r="F28" s="305"/>
      <c r="G28" s="305"/>
      <c r="H28" s="306"/>
      <c r="I28" s="306"/>
      <c r="J28" s="306"/>
      <c r="K28" s="306"/>
      <c r="L28" s="306"/>
      <c r="M28" s="306"/>
      <c r="N28" s="306"/>
    </row>
    <row r="29" spans="1:14" ht="31.5" customHeight="1" x14ac:dyDescent="0.25">
      <c r="B29" s="307" t="s">
        <v>45</v>
      </c>
      <c r="C29" s="307"/>
      <c r="D29" s="307"/>
      <c r="E29" s="307"/>
      <c r="F29" s="307"/>
      <c r="G29" s="307"/>
      <c r="H29" s="308"/>
      <c r="I29" s="308"/>
      <c r="J29" s="308"/>
      <c r="K29" s="308"/>
      <c r="L29" s="308"/>
      <c r="M29" s="308"/>
      <c r="N29" s="308"/>
    </row>
    <row r="30" spans="1:14" ht="31.5" customHeight="1" x14ac:dyDescent="0.25">
      <c r="B30" s="307" t="s">
        <v>46</v>
      </c>
      <c r="C30" s="307"/>
      <c r="D30" s="307"/>
      <c r="E30" s="307"/>
      <c r="F30" s="307"/>
      <c r="G30" s="307"/>
      <c r="H30" s="309"/>
      <c r="I30" s="309"/>
      <c r="J30" s="309"/>
      <c r="K30" s="309"/>
      <c r="L30" s="309"/>
      <c r="M30" s="309"/>
      <c r="N30" s="309"/>
    </row>
    <row r="31" spans="1:14" ht="34.5" customHeight="1" x14ac:dyDescent="0.25">
      <c r="B31" s="307" t="s">
        <v>47</v>
      </c>
      <c r="C31" s="310"/>
      <c r="D31" s="310"/>
      <c r="E31" s="310"/>
      <c r="F31" s="310"/>
      <c r="G31" s="310"/>
      <c r="H31" s="309"/>
      <c r="I31" s="309"/>
      <c r="J31" s="309"/>
      <c r="K31" s="309"/>
      <c r="L31" s="309"/>
      <c r="M31" s="309"/>
      <c r="N31" s="309"/>
    </row>
    <row r="32" spans="1:14" ht="34.5" customHeight="1" x14ac:dyDescent="0.25">
      <c r="B32" s="307" t="s">
        <v>48</v>
      </c>
      <c r="C32" s="310"/>
      <c r="D32" s="310"/>
      <c r="E32" s="310"/>
      <c r="F32" s="310"/>
      <c r="G32" s="310"/>
      <c r="H32" s="309"/>
      <c r="I32" s="309"/>
      <c r="J32" s="309"/>
      <c r="K32" s="309"/>
      <c r="L32" s="309"/>
      <c r="M32" s="309"/>
      <c r="N32" s="309"/>
    </row>
    <row r="33" spans="2:10" x14ac:dyDescent="0.25">
      <c r="B33" s="27"/>
      <c r="G33" s="28"/>
    </row>
    <row r="37" spans="2:10" x14ac:dyDescent="0.25">
      <c r="B37" s="103"/>
    </row>
    <row r="38" spans="2:10" x14ac:dyDescent="0.25">
      <c r="B38" s="73"/>
    </row>
    <row r="39" spans="2:10" x14ac:dyDescent="0.25">
      <c r="B39" s="314" t="s">
        <v>49</v>
      </c>
      <c r="C39" s="314"/>
      <c r="D39" s="314"/>
    </row>
    <row r="42" spans="2:10" x14ac:dyDescent="0.25">
      <c r="H42" s="29"/>
      <c r="I42" s="30"/>
      <c r="J42" s="31"/>
    </row>
    <row r="43" spans="2:10" x14ac:dyDescent="0.25">
      <c r="H43" s="29"/>
      <c r="I43" s="30"/>
      <c r="J43" s="31"/>
    </row>
  </sheetData>
  <mergeCells count="18">
    <mergeCell ref="B31:G31"/>
    <mergeCell ref="H31:N31"/>
    <mergeCell ref="B32:G32"/>
    <mergeCell ref="H32:N32"/>
    <mergeCell ref="B39:D39"/>
    <mergeCell ref="B28:G28"/>
    <mergeCell ref="H28:N28"/>
    <mergeCell ref="B29:G29"/>
    <mergeCell ref="H29:N29"/>
    <mergeCell ref="B30:G30"/>
    <mergeCell ref="H30:N30"/>
    <mergeCell ref="B2:I2"/>
    <mergeCell ref="B3:I3"/>
    <mergeCell ref="B4:I4"/>
    <mergeCell ref="E6:F6"/>
    <mergeCell ref="E7:F8"/>
    <mergeCell ref="G7:G9"/>
    <mergeCell ref="E9:F9"/>
  </mergeCells>
  <pageMargins left="0.7" right="0.7" top="0.75" bottom="0.75" header="0.3" footer="0.3"/>
  <pageSetup scale="37" orientation="portrait" r:id="rId1"/>
  <colBreaks count="1" manualBreakCount="1">
    <brk id="9"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41"/>
  <sheetViews>
    <sheetView view="pageBreakPreview" topLeftCell="A11" zoomScale="60" zoomScaleNormal="100" workbookViewId="0">
      <selection activeCell="E34" sqref="E34"/>
    </sheetView>
  </sheetViews>
  <sheetFormatPr baseColWidth="10" defaultRowHeight="15" x14ac:dyDescent="0.25"/>
  <cols>
    <col min="1" max="1" width="7.5703125" style="20" customWidth="1"/>
    <col min="2" max="2" width="25.5703125" style="22" customWidth="1"/>
    <col min="3" max="3" width="33.140625" style="22" customWidth="1"/>
    <col min="4" max="4" width="18.7109375" style="20" customWidth="1"/>
    <col min="5" max="5" width="15.5703125" style="20" customWidth="1"/>
    <col min="6" max="6" width="25.140625" style="20" customWidth="1"/>
    <col min="7" max="7" width="34" style="20" bestFit="1" customWidth="1"/>
    <col min="8" max="8" width="36.28515625" style="20" customWidth="1"/>
    <col min="9" max="9" width="76.85546875" style="20" customWidth="1"/>
    <col min="10" max="10" width="11.42578125" style="20"/>
    <col min="11" max="11" width="12.28515625" style="20" bestFit="1" customWidth="1"/>
    <col min="12" max="12" width="11.42578125" style="20"/>
    <col min="13" max="13" width="10.85546875" style="20" bestFit="1" customWidth="1"/>
    <col min="14" max="14" width="6.28515625" style="20" customWidth="1"/>
    <col min="15" max="16384" width="11.42578125" style="20"/>
  </cols>
  <sheetData>
    <row r="2" spans="2:9" ht="23.25" x14ac:dyDescent="0.25">
      <c r="B2" s="293" t="s">
        <v>26</v>
      </c>
      <c r="C2" s="293"/>
      <c r="D2" s="293"/>
      <c r="E2" s="293"/>
      <c r="F2" s="293"/>
      <c r="G2" s="293"/>
      <c r="H2" s="293"/>
      <c r="I2" s="293"/>
    </row>
    <row r="3" spans="2:9" ht="23.25" x14ac:dyDescent="0.25">
      <c r="B3" s="293" t="s">
        <v>37</v>
      </c>
      <c r="C3" s="293"/>
      <c r="D3" s="293"/>
      <c r="E3" s="293"/>
      <c r="F3" s="293"/>
      <c r="G3" s="293"/>
      <c r="H3" s="293"/>
      <c r="I3" s="293"/>
    </row>
    <row r="4" spans="2:9" ht="23.25" x14ac:dyDescent="0.25">
      <c r="B4" s="293" t="s">
        <v>27</v>
      </c>
      <c r="C4" s="293"/>
      <c r="D4" s="293"/>
      <c r="E4" s="293"/>
      <c r="F4" s="293"/>
      <c r="G4" s="293"/>
      <c r="H4" s="293"/>
      <c r="I4" s="293"/>
    </row>
    <row r="5" spans="2:9" ht="15.75" thickBot="1" x14ac:dyDescent="0.3"/>
    <row r="6" spans="2:9" ht="90" customHeight="1" x14ac:dyDescent="0.25">
      <c r="B6" s="172" t="s">
        <v>180</v>
      </c>
      <c r="C6" s="173" t="s">
        <v>358</v>
      </c>
      <c r="D6" s="174" t="s">
        <v>50</v>
      </c>
      <c r="E6" s="315" t="s">
        <v>52</v>
      </c>
      <c r="F6" s="315"/>
      <c r="G6" s="45" t="s">
        <v>0</v>
      </c>
      <c r="H6" s="109"/>
      <c r="I6" s="109"/>
    </row>
    <row r="7" spans="2:9" ht="34.5" customHeight="1" x14ac:dyDescent="0.25">
      <c r="B7" s="175"/>
      <c r="C7" s="176" t="s">
        <v>359</v>
      </c>
      <c r="D7" s="176">
        <v>0.5</v>
      </c>
      <c r="E7" s="316" t="s">
        <v>53</v>
      </c>
      <c r="F7" s="316"/>
      <c r="G7" s="317" t="s">
        <v>1</v>
      </c>
      <c r="H7" s="33"/>
      <c r="I7" s="34"/>
    </row>
    <row r="8" spans="2:9" ht="58.5" customHeight="1" x14ac:dyDescent="0.25">
      <c r="B8" s="175"/>
      <c r="C8" s="177" t="s">
        <v>360</v>
      </c>
      <c r="D8" s="176">
        <v>0.5</v>
      </c>
      <c r="E8" s="316"/>
      <c r="F8" s="316"/>
      <c r="G8" s="317"/>
      <c r="H8" s="35"/>
      <c r="I8" s="34"/>
    </row>
    <row r="9" spans="2:9" ht="39.75" customHeight="1" thickBot="1" x14ac:dyDescent="0.3">
      <c r="B9" s="178"/>
      <c r="C9" s="179"/>
      <c r="D9" s="180"/>
      <c r="E9" s="319" t="s">
        <v>51</v>
      </c>
      <c r="F9" s="319"/>
      <c r="G9" s="318"/>
      <c r="H9" s="35"/>
      <c r="I9" s="34"/>
    </row>
    <row r="11" spans="2:9" x14ac:dyDescent="0.25">
      <c r="B11" s="21" t="s">
        <v>28</v>
      </c>
      <c r="C11" s="32" t="s">
        <v>29</v>
      </c>
      <c r="D11" s="32" t="s">
        <v>18</v>
      </c>
      <c r="E11" s="32" t="s">
        <v>0</v>
      </c>
    </row>
    <row r="12" spans="2:9" x14ac:dyDescent="0.25">
      <c r="B12" s="36" t="s">
        <v>30</v>
      </c>
      <c r="C12" s="37">
        <v>5437884572</v>
      </c>
      <c r="D12" s="38">
        <f>+C12/828116</f>
        <v>6566.5734897043412</v>
      </c>
      <c r="E12" s="38"/>
    </row>
    <row r="13" spans="2:9" x14ac:dyDescent="0.25">
      <c r="B13" s="36" t="s">
        <v>38</v>
      </c>
      <c r="C13" s="37">
        <f>+C12*0.75</f>
        <v>4078413429</v>
      </c>
      <c r="D13" s="38">
        <f>+C13/828116</f>
        <v>4924.9301172782561</v>
      </c>
      <c r="E13" s="181" t="s">
        <v>0</v>
      </c>
    </row>
    <row r="14" spans="2:9" x14ac:dyDescent="0.25">
      <c r="B14" s="36" t="s">
        <v>39</v>
      </c>
      <c r="C14" s="37">
        <f>+C12*1.2</f>
        <v>6525461486.3999996</v>
      </c>
      <c r="D14" s="38">
        <f>+C14/828116</f>
        <v>7879.8881876452087</v>
      </c>
      <c r="E14" s="102"/>
    </row>
    <row r="15" spans="2:9" x14ac:dyDescent="0.25">
      <c r="B15" s="36" t="s">
        <v>40</v>
      </c>
      <c r="C15" s="37">
        <f>+C12*1.5</f>
        <v>8156826858</v>
      </c>
      <c r="D15" s="38">
        <f>+C15/828116</f>
        <v>9849.8602345565123</v>
      </c>
      <c r="E15" s="38"/>
    </row>
    <row r="17" spans="1:14" x14ac:dyDescent="0.25">
      <c r="B17" s="23" t="s">
        <v>31</v>
      </c>
      <c r="C17" s="23"/>
      <c r="D17" s="23"/>
    </row>
    <row r="18" spans="1:14" ht="30" x14ac:dyDescent="0.25">
      <c r="B18" s="32" t="s">
        <v>32</v>
      </c>
      <c r="C18" s="21" t="s">
        <v>33</v>
      </c>
      <c r="D18" s="32" t="s">
        <v>34</v>
      </c>
      <c r="E18" s="21" t="s">
        <v>54</v>
      </c>
      <c r="F18" s="21" t="s">
        <v>41</v>
      </c>
      <c r="G18" s="21" t="s">
        <v>42</v>
      </c>
      <c r="H18" s="21" t="s">
        <v>43</v>
      </c>
      <c r="I18" s="32" t="s">
        <v>17</v>
      </c>
    </row>
    <row r="19" spans="1:14" ht="156" customHeight="1" x14ac:dyDescent="0.25">
      <c r="A19" s="32">
        <v>1</v>
      </c>
      <c r="B19" s="182" t="s">
        <v>361</v>
      </c>
      <c r="C19" s="182" t="s">
        <v>360</v>
      </c>
      <c r="D19" s="183">
        <v>70</v>
      </c>
      <c r="E19" s="184" t="s">
        <v>240</v>
      </c>
      <c r="F19" s="185">
        <v>452.49</v>
      </c>
      <c r="G19" s="186">
        <f>+F19*828116</f>
        <v>374714208.84000003</v>
      </c>
      <c r="H19" s="187" t="s">
        <v>362</v>
      </c>
      <c r="I19" s="182" t="s">
        <v>363</v>
      </c>
    </row>
    <row r="20" spans="1:14" ht="117.75" customHeight="1" x14ac:dyDescent="0.25">
      <c r="A20" s="188">
        <v>2</v>
      </c>
      <c r="B20" s="182" t="s">
        <v>361</v>
      </c>
      <c r="C20" s="182" t="s">
        <v>364</v>
      </c>
      <c r="D20" s="183">
        <v>13</v>
      </c>
      <c r="E20" s="184" t="s">
        <v>240</v>
      </c>
      <c r="F20" s="185">
        <v>452.49</v>
      </c>
      <c r="G20" s="186">
        <f>+F20*828116</f>
        <v>374714208.84000003</v>
      </c>
      <c r="H20" s="187" t="s">
        <v>362</v>
      </c>
      <c r="I20" s="182" t="s">
        <v>365</v>
      </c>
    </row>
    <row r="21" spans="1:14" ht="117.75" customHeight="1" x14ac:dyDescent="0.25">
      <c r="A21" s="188">
        <v>3</v>
      </c>
      <c r="B21" s="182" t="s">
        <v>366</v>
      </c>
      <c r="C21" s="182" t="s">
        <v>360</v>
      </c>
      <c r="D21" s="183">
        <v>41</v>
      </c>
      <c r="E21" s="189" t="s">
        <v>0</v>
      </c>
      <c r="F21" s="185">
        <v>10035.879999999999</v>
      </c>
      <c r="G21" s="186">
        <f>+F21*828116</f>
        <v>8310872802.079999</v>
      </c>
      <c r="H21" s="187" t="s">
        <v>367</v>
      </c>
      <c r="I21" s="182" t="s">
        <v>0</v>
      </c>
    </row>
    <row r="22" spans="1:14" ht="65.099999999999994" customHeight="1" x14ac:dyDescent="0.25">
      <c r="A22" s="32"/>
      <c r="B22" s="2"/>
      <c r="C22" s="2"/>
      <c r="D22" s="2"/>
      <c r="E22" s="2"/>
      <c r="F22" s="130"/>
      <c r="G22" s="131"/>
      <c r="H22" s="24"/>
      <c r="I22" s="132"/>
    </row>
    <row r="23" spans="1:14" x14ac:dyDescent="0.25">
      <c r="B23" s="2"/>
      <c r="D23" s="2"/>
      <c r="E23" s="32" t="s">
        <v>35</v>
      </c>
      <c r="F23" s="25">
        <f>SUM(F21:F22)</f>
        <v>10035.879999999999</v>
      </c>
      <c r="G23" s="40">
        <f>SUM(G21:G22)</f>
        <v>8310872802.079999</v>
      </c>
      <c r="H23" s="26"/>
    </row>
    <row r="24" spans="1:14" x14ac:dyDescent="0.25">
      <c r="B24" s="34"/>
      <c r="D24" s="34"/>
      <c r="E24" s="42" t="s">
        <v>18</v>
      </c>
      <c r="F24" s="43"/>
      <c r="G24" s="44">
        <f>+G23/828116</f>
        <v>10035.879999999999</v>
      </c>
      <c r="H24" s="41"/>
    </row>
    <row r="26" spans="1:14" ht="43.5" customHeight="1" x14ac:dyDescent="0.25">
      <c r="B26" s="305" t="s">
        <v>44</v>
      </c>
      <c r="C26" s="305"/>
      <c r="D26" s="305"/>
      <c r="E26" s="305"/>
      <c r="F26" s="305"/>
      <c r="G26" s="305"/>
      <c r="H26" s="306"/>
      <c r="I26" s="306"/>
      <c r="J26" s="306"/>
      <c r="K26" s="306"/>
      <c r="L26" s="306"/>
      <c r="M26" s="306"/>
      <c r="N26" s="306"/>
    </row>
    <row r="27" spans="1:14" ht="31.5" customHeight="1" x14ac:dyDescent="0.25">
      <c r="B27" s="307" t="s">
        <v>45</v>
      </c>
      <c r="C27" s="307"/>
      <c r="D27" s="307"/>
      <c r="E27" s="307"/>
      <c r="F27" s="307"/>
      <c r="G27" s="307"/>
      <c r="H27" s="308"/>
      <c r="I27" s="308"/>
      <c r="J27" s="308"/>
      <c r="K27" s="308"/>
      <c r="L27" s="308"/>
      <c r="M27" s="308"/>
      <c r="N27" s="308"/>
    </row>
    <row r="28" spans="1:14" ht="31.5" customHeight="1" x14ac:dyDescent="0.25">
      <c r="B28" s="307" t="s">
        <v>46</v>
      </c>
      <c r="C28" s="307"/>
      <c r="D28" s="307"/>
      <c r="E28" s="307"/>
      <c r="F28" s="307"/>
      <c r="G28" s="307"/>
      <c r="H28" s="309"/>
      <c r="I28" s="309"/>
      <c r="J28" s="309"/>
      <c r="K28" s="309"/>
      <c r="L28" s="309"/>
      <c r="M28" s="309"/>
      <c r="N28" s="309"/>
    </row>
    <row r="29" spans="1:14" ht="34.5" customHeight="1" x14ac:dyDescent="0.25">
      <c r="B29" s="307" t="s">
        <v>47</v>
      </c>
      <c r="C29" s="310"/>
      <c r="D29" s="310"/>
      <c r="E29" s="310"/>
      <c r="F29" s="310"/>
      <c r="G29" s="310"/>
      <c r="H29" s="309"/>
      <c r="I29" s="309"/>
      <c r="J29" s="309"/>
      <c r="K29" s="309"/>
      <c r="L29" s="309"/>
      <c r="M29" s="309"/>
      <c r="N29" s="309"/>
    </row>
    <row r="30" spans="1:14" ht="34.5" customHeight="1" x14ac:dyDescent="0.25">
      <c r="B30" s="307" t="s">
        <v>48</v>
      </c>
      <c r="C30" s="310"/>
      <c r="D30" s="310"/>
      <c r="E30" s="310"/>
      <c r="F30" s="310"/>
      <c r="G30" s="310"/>
      <c r="H30" s="309"/>
      <c r="I30" s="309"/>
      <c r="J30" s="309"/>
      <c r="K30" s="309"/>
      <c r="L30" s="309"/>
      <c r="M30" s="309"/>
      <c r="N30" s="309"/>
    </row>
    <row r="31" spans="1:14" x14ac:dyDescent="0.25">
      <c r="B31" s="27"/>
      <c r="G31" s="28"/>
    </row>
    <row r="34" spans="2:10" x14ac:dyDescent="0.25">
      <c r="B34" s="311" t="s">
        <v>49</v>
      </c>
      <c r="C34" s="311"/>
      <c r="D34" s="311"/>
    </row>
    <row r="35" spans="2:10" x14ac:dyDescent="0.25">
      <c r="B35" s="20"/>
    </row>
    <row r="40" spans="2:10" x14ac:dyDescent="0.25">
      <c r="H40" s="29"/>
      <c r="I40" s="30"/>
      <c r="J40" s="31"/>
    </row>
    <row r="41" spans="2:10" x14ac:dyDescent="0.25">
      <c r="H41" s="29"/>
      <c r="I41" s="30"/>
      <c r="J41" s="31"/>
    </row>
  </sheetData>
  <mergeCells count="18">
    <mergeCell ref="B2:I2"/>
    <mergeCell ref="B3:I3"/>
    <mergeCell ref="B4:I4"/>
    <mergeCell ref="E6:F6"/>
    <mergeCell ref="E7:F8"/>
    <mergeCell ref="G7:G9"/>
    <mergeCell ref="E9:F9"/>
    <mergeCell ref="B26:G26"/>
    <mergeCell ref="H26:N26"/>
    <mergeCell ref="B27:G27"/>
    <mergeCell ref="H27:N27"/>
    <mergeCell ref="B28:G28"/>
    <mergeCell ref="H28:N28"/>
    <mergeCell ref="B29:G29"/>
    <mergeCell ref="H29:N29"/>
    <mergeCell ref="B30:G30"/>
    <mergeCell ref="H30:N30"/>
    <mergeCell ref="B34:D34"/>
  </mergeCells>
  <pageMargins left="0.7" right="0.7" top="0.75" bottom="0.75" header="0.3" footer="0.3"/>
  <pageSetup scale="33" orientation="portrait" r:id="rId1"/>
  <colBreaks count="1" manualBreakCount="1">
    <brk id="9"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40"/>
  <sheetViews>
    <sheetView view="pageBreakPreview" topLeftCell="A10" zoomScale="60" zoomScaleNormal="100" workbookViewId="0">
      <selection activeCell="E33" sqref="E33"/>
    </sheetView>
  </sheetViews>
  <sheetFormatPr baseColWidth="10" defaultRowHeight="15" x14ac:dyDescent="0.25"/>
  <cols>
    <col min="1" max="1" width="7.5703125" style="20" customWidth="1"/>
    <col min="2" max="2" width="25.5703125" style="22" customWidth="1"/>
    <col min="3" max="3" width="33.140625" style="22" customWidth="1"/>
    <col min="4" max="4" width="18.7109375" style="20" customWidth="1"/>
    <col min="5" max="5" width="15.5703125" style="20" customWidth="1"/>
    <col min="6" max="6" width="25.140625" style="20" customWidth="1"/>
    <col min="7" max="7" width="34" style="20" bestFit="1" customWidth="1"/>
    <col min="8" max="8" width="36.28515625" style="20" customWidth="1"/>
    <col min="9" max="9" width="76.85546875" style="20" customWidth="1"/>
    <col min="10" max="10" width="11.42578125" style="20"/>
    <col min="11" max="11" width="12.28515625" style="20" bestFit="1" customWidth="1"/>
    <col min="12" max="12" width="11.42578125" style="20"/>
    <col min="13" max="13" width="10.85546875" style="20" bestFit="1" customWidth="1"/>
    <col min="14" max="14" width="6.28515625" style="20" customWidth="1"/>
    <col min="15" max="16384" width="11.42578125" style="20"/>
  </cols>
  <sheetData>
    <row r="2" spans="2:9" ht="23.25" x14ac:dyDescent="0.25">
      <c r="B2" s="293" t="s">
        <v>26</v>
      </c>
      <c r="C2" s="293"/>
      <c r="D2" s="293"/>
      <c r="E2" s="293"/>
      <c r="F2" s="293"/>
      <c r="G2" s="293"/>
      <c r="H2" s="293"/>
      <c r="I2" s="293"/>
    </row>
    <row r="3" spans="2:9" ht="23.25" x14ac:dyDescent="0.25">
      <c r="B3" s="293" t="s">
        <v>37</v>
      </c>
      <c r="C3" s="293"/>
      <c r="D3" s="293"/>
      <c r="E3" s="293"/>
      <c r="F3" s="293"/>
      <c r="G3" s="293"/>
      <c r="H3" s="293"/>
      <c r="I3" s="293"/>
    </row>
    <row r="4" spans="2:9" ht="23.25" x14ac:dyDescent="0.25">
      <c r="B4" s="293" t="s">
        <v>27</v>
      </c>
      <c r="C4" s="293"/>
      <c r="D4" s="293"/>
      <c r="E4" s="293"/>
      <c r="F4" s="293"/>
      <c r="G4" s="293"/>
      <c r="H4" s="293"/>
      <c r="I4" s="293"/>
    </row>
    <row r="5" spans="2:9" ht="15.75" thickBot="1" x14ac:dyDescent="0.3"/>
    <row r="6" spans="2:9" ht="90" customHeight="1" x14ac:dyDescent="0.25">
      <c r="B6" s="172" t="s">
        <v>180</v>
      </c>
      <c r="C6" s="173" t="s">
        <v>358</v>
      </c>
      <c r="D6" s="174" t="s">
        <v>50</v>
      </c>
      <c r="E6" s="315" t="s">
        <v>52</v>
      </c>
      <c r="F6" s="315"/>
      <c r="G6" s="45" t="s">
        <v>0</v>
      </c>
      <c r="H6" s="109"/>
      <c r="I6" s="109"/>
    </row>
    <row r="7" spans="2:9" ht="34.5" customHeight="1" x14ac:dyDescent="0.25">
      <c r="B7" s="175"/>
      <c r="C7" s="176" t="s">
        <v>368</v>
      </c>
      <c r="D7" s="176">
        <v>1</v>
      </c>
      <c r="E7" s="316" t="s">
        <v>53</v>
      </c>
      <c r="F7" s="316"/>
      <c r="G7" s="317" t="s">
        <v>1</v>
      </c>
      <c r="H7" s="33"/>
      <c r="I7" s="34"/>
    </row>
    <row r="8" spans="2:9" ht="58.5" customHeight="1" x14ac:dyDescent="0.25">
      <c r="B8" s="175"/>
      <c r="C8" s="177"/>
      <c r="D8" s="176"/>
      <c r="E8" s="316"/>
      <c r="F8" s="316"/>
      <c r="G8" s="317"/>
      <c r="H8" s="35"/>
      <c r="I8" s="34"/>
    </row>
    <row r="9" spans="2:9" ht="39.75" customHeight="1" thickBot="1" x14ac:dyDescent="0.3">
      <c r="B9" s="178"/>
      <c r="C9" s="179"/>
      <c r="D9" s="180"/>
      <c r="E9" s="319" t="s">
        <v>51</v>
      </c>
      <c r="F9" s="319"/>
      <c r="G9" s="318"/>
      <c r="H9" s="35"/>
      <c r="I9" s="34"/>
    </row>
    <row r="11" spans="2:9" x14ac:dyDescent="0.25">
      <c r="B11" s="21" t="s">
        <v>28</v>
      </c>
      <c r="C11" s="32" t="s">
        <v>29</v>
      </c>
      <c r="D11" s="32" t="s">
        <v>18</v>
      </c>
      <c r="E11" s="32" t="s">
        <v>0</v>
      </c>
    </row>
    <row r="12" spans="2:9" x14ac:dyDescent="0.25">
      <c r="B12" s="36" t="s">
        <v>30</v>
      </c>
      <c r="C12" s="37">
        <v>5437884572</v>
      </c>
      <c r="D12" s="38">
        <f>+C12/828116</f>
        <v>6566.5734897043412</v>
      </c>
      <c r="E12" s="38"/>
    </row>
    <row r="13" spans="2:9" x14ac:dyDescent="0.25">
      <c r="B13" s="36" t="s">
        <v>38</v>
      </c>
      <c r="C13" s="37">
        <f>+C12*0.75</f>
        <v>4078413429</v>
      </c>
      <c r="D13" s="38">
        <f>+C13/828116</f>
        <v>4924.9301172782561</v>
      </c>
      <c r="E13" s="102" t="s">
        <v>0</v>
      </c>
    </row>
    <row r="14" spans="2:9" x14ac:dyDescent="0.25">
      <c r="B14" s="36" t="s">
        <v>39</v>
      </c>
      <c r="C14" s="37">
        <f>+C12*1.2</f>
        <v>6525461486.3999996</v>
      </c>
      <c r="D14" s="38">
        <f>+C14/828116</f>
        <v>7879.8881876452087</v>
      </c>
      <c r="E14" s="190"/>
    </row>
    <row r="15" spans="2:9" x14ac:dyDescent="0.25">
      <c r="B15" s="36" t="s">
        <v>40</v>
      </c>
      <c r="C15" s="37">
        <f>+C12*1.5</f>
        <v>8156826858</v>
      </c>
      <c r="D15" s="38">
        <f>+C15/828116</f>
        <v>9849.8602345565123</v>
      </c>
      <c r="E15" s="38"/>
    </row>
    <row r="17" spans="1:14" x14ac:dyDescent="0.25">
      <c r="B17" s="23" t="s">
        <v>31</v>
      </c>
      <c r="C17" s="23"/>
      <c r="D17" s="23"/>
    </row>
    <row r="18" spans="1:14" ht="30" x14ac:dyDescent="0.25">
      <c r="B18" s="32" t="s">
        <v>32</v>
      </c>
      <c r="C18" s="21" t="s">
        <v>33</v>
      </c>
      <c r="D18" s="32" t="s">
        <v>34</v>
      </c>
      <c r="E18" s="21" t="s">
        <v>54</v>
      </c>
      <c r="F18" s="21" t="s">
        <v>41</v>
      </c>
      <c r="G18" s="21" t="s">
        <v>42</v>
      </c>
      <c r="H18" s="21" t="s">
        <v>43</v>
      </c>
      <c r="I18" s="32" t="s">
        <v>17</v>
      </c>
    </row>
    <row r="19" spans="1:14" ht="110.25" customHeight="1" x14ac:dyDescent="0.25">
      <c r="A19" s="32">
        <v>1</v>
      </c>
      <c r="B19" s="182" t="s">
        <v>369</v>
      </c>
      <c r="C19" s="182" t="s">
        <v>368</v>
      </c>
      <c r="D19" s="183">
        <v>11</v>
      </c>
      <c r="E19" s="189" t="s">
        <v>0</v>
      </c>
      <c r="F19" s="185">
        <v>24038.21</v>
      </c>
      <c r="G19" s="186">
        <f>+F19*828116</f>
        <v>19906426312.360001</v>
      </c>
      <c r="H19" s="187" t="s">
        <v>370</v>
      </c>
      <c r="I19" s="182" t="s">
        <v>0</v>
      </c>
    </row>
    <row r="20" spans="1:14" ht="238.5" customHeight="1" x14ac:dyDescent="0.25">
      <c r="A20" s="188">
        <v>2</v>
      </c>
      <c r="B20" s="182" t="s">
        <v>371</v>
      </c>
      <c r="C20" s="182" t="s">
        <v>368</v>
      </c>
      <c r="D20" s="183">
        <v>20</v>
      </c>
      <c r="E20" s="184" t="s">
        <v>240</v>
      </c>
      <c r="F20" s="185">
        <v>7139.47</v>
      </c>
      <c r="G20" s="186">
        <f>+F20*828116</f>
        <v>5912309338.5200005</v>
      </c>
      <c r="H20" s="187" t="s">
        <v>372</v>
      </c>
      <c r="I20" s="182" t="s">
        <v>373</v>
      </c>
    </row>
    <row r="21" spans="1:14" ht="65.099999999999994" customHeight="1" x14ac:dyDescent="0.25">
      <c r="A21" s="32"/>
      <c r="B21" s="2"/>
      <c r="C21" s="2"/>
      <c r="D21" s="2"/>
      <c r="E21" s="2"/>
      <c r="F21" s="130"/>
      <c r="G21" s="131"/>
      <c r="H21" s="24"/>
      <c r="I21" s="132"/>
    </row>
    <row r="22" spans="1:14" x14ac:dyDescent="0.25">
      <c r="B22" s="2"/>
      <c r="D22" s="2"/>
      <c r="E22" s="32" t="s">
        <v>35</v>
      </c>
      <c r="F22" s="25">
        <f>SUM(F19)</f>
        <v>24038.21</v>
      </c>
      <c r="G22" s="40">
        <f>SUM(G19)</f>
        <v>19906426312.360001</v>
      </c>
      <c r="H22" s="26"/>
    </row>
    <row r="23" spans="1:14" x14ac:dyDescent="0.25">
      <c r="B23" s="34"/>
      <c r="D23" s="34"/>
      <c r="E23" s="42" t="s">
        <v>18</v>
      </c>
      <c r="F23" s="43"/>
      <c r="G23" s="44">
        <f>+G22/828116</f>
        <v>24038.21</v>
      </c>
      <c r="H23" s="41"/>
    </row>
    <row r="25" spans="1:14" ht="43.5" customHeight="1" x14ac:dyDescent="0.25">
      <c r="B25" s="305" t="s">
        <v>44</v>
      </c>
      <c r="C25" s="305"/>
      <c r="D25" s="305"/>
      <c r="E25" s="305"/>
      <c r="F25" s="305"/>
      <c r="G25" s="305"/>
      <c r="H25" s="306"/>
      <c r="I25" s="306"/>
      <c r="J25" s="306"/>
      <c r="K25" s="306"/>
      <c r="L25" s="306"/>
      <c r="M25" s="306"/>
      <c r="N25" s="306"/>
    </row>
    <row r="26" spans="1:14" ht="31.5" customHeight="1" x14ac:dyDescent="0.25">
      <c r="B26" s="307" t="s">
        <v>45</v>
      </c>
      <c r="C26" s="307"/>
      <c r="D26" s="307"/>
      <c r="E26" s="307"/>
      <c r="F26" s="307"/>
      <c r="G26" s="307"/>
      <c r="H26" s="308"/>
      <c r="I26" s="308"/>
      <c r="J26" s="308"/>
      <c r="K26" s="308"/>
      <c r="L26" s="308"/>
      <c r="M26" s="308"/>
      <c r="N26" s="308"/>
    </row>
    <row r="27" spans="1:14" ht="31.5" customHeight="1" x14ac:dyDescent="0.25">
      <c r="B27" s="307" t="s">
        <v>46</v>
      </c>
      <c r="C27" s="307"/>
      <c r="D27" s="307"/>
      <c r="E27" s="307"/>
      <c r="F27" s="307"/>
      <c r="G27" s="307"/>
      <c r="H27" s="309"/>
      <c r="I27" s="309"/>
      <c r="J27" s="309"/>
      <c r="K27" s="309"/>
      <c r="L27" s="309"/>
      <c r="M27" s="309"/>
      <c r="N27" s="309"/>
    </row>
    <row r="28" spans="1:14" ht="34.5" customHeight="1" x14ac:dyDescent="0.25">
      <c r="B28" s="307" t="s">
        <v>47</v>
      </c>
      <c r="C28" s="310"/>
      <c r="D28" s="310"/>
      <c r="E28" s="310"/>
      <c r="F28" s="310"/>
      <c r="G28" s="310"/>
      <c r="H28" s="309"/>
      <c r="I28" s="309"/>
      <c r="J28" s="309"/>
      <c r="K28" s="309"/>
      <c r="L28" s="309"/>
      <c r="M28" s="309"/>
      <c r="N28" s="309"/>
    </row>
    <row r="29" spans="1:14" ht="34.5" customHeight="1" x14ac:dyDescent="0.25">
      <c r="B29" s="307" t="s">
        <v>48</v>
      </c>
      <c r="C29" s="310"/>
      <c r="D29" s="310"/>
      <c r="E29" s="310"/>
      <c r="F29" s="310"/>
      <c r="G29" s="310"/>
      <c r="H29" s="309"/>
      <c r="I29" s="309"/>
      <c r="J29" s="309"/>
      <c r="K29" s="309"/>
      <c r="L29" s="309"/>
      <c r="M29" s="309"/>
      <c r="N29" s="309"/>
    </row>
    <row r="30" spans="1:14" x14ac:dyDescent="0.25">
      <c r="B30" s="27"/>
      <c r="G30" s="28"/>
    </row>
    <row r="33" spans="2:10" x14ac:dyDescent="0.25">
      <c r="B33" s="311" t="s">
        <v>49</v>
      </c>
      <c r="C33" s="311"/>
      <c r="D33" s="311"/>
    </row>
    <row r="34" spans="2:10" x14ac:dyDescent="0.25">
      <c r="B34" s="20"/>
    </row>
    <row r="39" spans="2:10" x14ac:dyDescent="0.25">
      <c r="H39" s="29"/>
      <c r="I39" s="30"/>
      <c r="J39" s="31"/>
    </row>
    <row r="40" spans="2:10" x14ac:dyDescent="0.25">
      <c r="H40" s="29"/>
      <c r="I40" s="30"/>
      <c r="J40" s="31"/>
    </row>
  </sheetData>
  <mergeCells count="18">
    <mergeCell ref="B2:I2"/>
    <mergeCell ref="B3:I3"/>
    <mergeCell ref="B4:I4"/>
    <mergeCell ref="E6:F6"/>
    <mergeCell ref="E7:F8"/>
    <mergeCell ref="G7:G9"/>
    <mergeCell ref="E9:F9"/>
    <mergeCell ref="B25:G25"/>
    <mergeCell ref="H25:N25"/>
    <mergeCell ref="B26:G26"/>
    <mergeCell ref="H26:N26"/>
    <mergeCell ref="B27:G27"/>
    <mergeCell ref="H27:N27"/>
    <mergeCell ref="B28:G28"/>
    <mergeCell ref="H28:N28"/>
    <mergeCell ref="B29:G29"/>
    <mergeCell ref="H29:N29"/>
    <mergeCell ref="B33:D33"/>
  </mergeCells>
  <pageMargins left="0.7" right="0.7" top="0.75" bottom="0.75" header="0.3" footer="0.3"/>
  <pageSetup scale="33" orientation="portrait" r:id="rId1"/>
  <colBreaks count="1" manualBreakCount="1">
    <brk id="9"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42"/>
  <sheetViews>
    <sheetView view="pageBreakPreview" topLeftCell="A11" zoomScale="60" zoomScaleNormal="100" workbookViewId="0">
      <selection activeCell="E35" sqref="E35"/>
    </sheetView>
  </sheetViews>
  <sheetFormatPr baseColWidth="10" defaultRowHeight="15" x14ac:dyDescent="0.25"/>
  <cols>
    <col min="1" max="1" width="7.5703125" style="20" customWidth="1"/>
    <col min="2" max="2" width="25.5703125" style="22" customWidth="1"/>
    <col min="3" max="3" width="40.42578125" style="22" customWidth="1"/>
    <col min="4" max="4" width="18.7109375" style="20" customWidth="1"/>
    <col min="5" max="5" width="15.5703125" style="20" customWidth="1"/>
    <col min="6" max="6" width="25.140625" style="20" customWidth="1"/>
    <col min="7" max="7" width="34" style="20" bestFit="1" customWidth="1"/>
    <col min="8" max="8" width="36.28515625" style="20" customWidth="1"/>
    <col min="9" max="9" width="76.85546875" style="20" customWidth="1"/>
    <col min="10" max="10" width="11.42578125" style="20"/>
    <col min="11" max="11" width="12.28515625" style="20" bestFit="1" customWidth="1"/>
    <col min="12" max="12" width="11.42578125" style="20"/>
    <col min="13" max="13" width="10.85546875" style="20" bestFit="1" customWidth="1"/>
    <col min="14" max="14" width="6.28515625" style="20" customWidth="1"/>
    <col min="15" max="16384" width="11.42578125" style="20"/>
  </cols>
  <sheetData>
    <row r="2" spans="2:9" ht="23.25" x14ac:dyDescent="0.25">
      <c r="B2" s="293" t="s">
        <v>26</v>
      </c>
      <c r="C2" s="293"/>
      <c r="D2" s="293"/>
      <c r="E2" s="293"/>
      <c r="F2" s="293"/>
      <c r="G2" s="293"/>
      <c r="H2" s="293"/>
      <c r="I2" s="293"/>
    </row>
    <row r="3" spans="2:9" ht="23.25" x14ac:dyDescent="0.25">
      <c r="B3" s="293" t="s">
        <v>37</v>
      </c>
      <c r="C3" s="293"/>
      <c r="D3" s="293"/>
      <c r="E3" s="293"/>
      <c r="F3" s="293"/>
      <c r="G3" s="293"/>
      <c r="H3" s="293"/>
      <c r="I3" s="293"/>
    </row>
    <row r="4" spans="2:9" ht="23.25" x14ac:dyDescent="0.25">
      <c r="B4" s="293" t="s">
        <v>27</v>
      </c>
      <c r="C4" s="293"/>
      <c r="D4" s="293"/>
      <c r="E4" s="293"/>
      <c r="F4" s="293"/>
      <c r="G4" s="293"/>
      <c r="H4" s="293"/>
      <c r="I4" s="293"/>
    </row>
    <row r="5" spans="2:9" ht="15.75" thickBot="1" x14ac:dyDescent="0.3"/>
    <row r="6" spans="2:9" ht="90" customHeight="1" x14ac:dyDescent="0.25">
      <c r="B6" s="191" t="s">
        <v>180</v>
      </c>
      <c r="C6" s="173" t="s">
        <v>374</v>
      </c>
      <c r="D6" s="174" t="s">
        <v>50</v>
      </c>
      <c r="E6" s="315" t="s">
        <v>52</v>
      </c>
      <c r="F6" s="315"/>
      <c r="G6" s="45" t="s">
        <v>0</v>
      </c>
      <c r="H6" s="109"/>
      <c r="I6" s="109"/>
    </row>
    <row r="7" spans="2:9" ht="34.5" customHeight="1" x14ac:dyDescent="0.25">
      <c r="B7" s="175"/>
      <c r="C7" s="176" t="s">
        <v>375</v>
      </c>
      <c r="D7" s="176">
        <v>0.5</v>
      </c>
      <c r="E7" s="316" t="s">
        <v>53</v>
      </c>
      <c r="F7" s="316"/>
      <c r="G7" s="317" t="s">
        <v>1</v>
      </c>
      <c r="H7" s="33"/>
      <c r="I7" s="34"/>
    </row>
    <row r="8" spans="2:9" ht="58.5" customHeight="1" x14ac:dyDescent="0.25">
      <c r="B8" s="175"/>
      <c r="C8" s="177" t="s">
        <v>376</v>
      </c>
      <c r="D8" s="176">
        <v>0.5</v>
      </c>
      <c r="E8" s="316"/>
      <c r="F8" s="316"/>
      <c r="G8" s="317"/>
      <c r="H8" s="35"/>
      <c r="I8" s="34"/>
    </row>
    <row r="9" spans="2:9" ht="39.75" customHeight="1" thickBot="1" x14ac:dyDescent="0.3">
      <c r="B9" s="178"/>
      <c r="C9" s="179"/>
      <c r="D9" s="180"/>
      <c r="E9" s="319" t="s">
        <v>51</v>
      </c>
      <c r="F9" s="319"/>
      <c r="G9" s="318"/>
      <c r="H9" s="35"/>
      <c r="I9" s="34"/>
    </row>
    <row r="11" spans="2:9" x14ac:dyDescent="0.25">
      <c r="B11" s="21" t="s">
        <v>28</v>
      </c>
      <c r="C11" s="32" t="s">
        <v>29</v>
      </c>
      <c r="D11" s="32" t="s">
        <v>18</v>
      </c>
      <c r="E11" s="32" t="s">
        <v>0</v>
      </c>
    </row>
    <row r="12" spans="2:9" x14ac:dyDescent="0.25">
      <c r="B12" s="36" t="s">
        <v>30</v>
      </c>
      <c r="C12" s="37">
        <v>5437884572</v>
      </c>
      <c r="D12" s="38">
        <f>+C12/828116</f>
        <v>6566.5734897043412</v>
      </c>
      <c r="E12" s="38"/>
    </row>
    <row r="13" spans="2:9" x14ac:dyDescent="0.25">
      <c r="B13" s="36" t="s">
        <v>38</v>
      </c>
      <c r="C13" s="37">
        <f>+C12*0.75</f>
        <v>4078413429</v>
      </c>
      <c r="D13" s="38">
        <f>+C13/828116</f>
        <v>4924.9301172782561</v>
      </c>
      <c r="E13" s="181"/>
    </row>
    <row r="14" spans="2:9" x14ac:dyDescent="0.25">
      <c r="B14" s="36" t="s">
        <v>39</v>
      </c>
      <c r="C14" s="37">
        <f>+C12*1.2</f>
        <v>6525461486.3999996</v>
      </c>
      <c r="D14" s="38">
        <f>+C14/828116</f>
        <v>7879.8881876452087</v>
      </c>
      <c r="E14" s="198" t="s">
        <v>192</v>
      </c>
    </row>
    <row r="15" spans="2:9" x14ac:dyDescent="0.25">
      <c r="B15" s="36" t="s">
        <v>40</v>
      </c>
      <c r="C15" s="37">
        <f>+C12*1.5</f>
        <v>8156826858</v>
      </c>
      <c r="D15" s="38">
        <f>+C15/828116</f>
        <v>9849.8602345565123</v>
      </c>
      <c r="E15" s="38"/>
    </row>
    <row r="17" spans="1:14" x14ac:dyDescent="0.25">
      <c r="B17" s="23" t="s">
        <v>31</v>
      </c>
      <c r="C17" s="23"/>
      <c r="D17" s="23"/>
    </row>
    <row r="18" spans="1:14" ht="30" x14ac:dyDescent="0.25">
      <c r="B18" s="32" t="s">
        <v>32</v>
      </c>
      <c r="C18" s="21" t="s">
        <v>33</v>
      </c>
      <c r="D18" s="32" t="s">
        <v>34</v>
      </c>
      <c r="E18" s="21" t="s">
        <v>54</v>
      </c>
      <c r="F18" s="21" t="s">
        <v>41</v>
      </c>
      <c r="G18" s="21" t="s">
        <v>42</v>
      </c>
      <c r="H18" s="21" t="s">
        <v>43</v>
      </c>
      <c r="I18" s="32" t="s">
        <v>17</v>
      </c>
    </row>
    <row r="19" spans="1:14" ht="115.5" customHeight="1" x14ac:dyDescent="0.25">
      <c r="A19" s="32">
        <v>1</v>
      </c>
      <c r="B19" s="182" t="s">
        <v>377</v>
      </c>
      <c r="C19" s="182" t="s">
        <v>375</v>
      </c>
      <c r="D19" s="183">
        <v>2</v>
      </c>
      <c r="E19" s="189" t="s">
        <v>0</v>
      </c>
      <c r="F19" s="185">
        <v>1630.96</v>
      </c>
      <c r="G19" s="186">
        <f>+F19*828116</f>
        <v>1350624071.3600001</v>
      </c>
      <c r="H19" s="187" t="s">
        <v>378</v>
      </c>
      <c r="I19" s="182"/>
    </row>
    <row r="20" spans="1:14" ht="82.5" customHeight="1" x14ac:dyDescent="0.25">
      <c r="A20" s="188">
        <v>2</v>
      </c>
      <c r="B20" s="182" t="s">
        <v>379</v>
      </c>
      <c r="C20" s="182" t="s">
        <v>375</v>
      </c>
      <c r="D20" s="189">
        <v>5</v>
      </c>
      <c r="E20" s="189" t="s">
        <v>0</v>
      </c>
      <c r="F20" s="192">
        <v>2101.9</v>
      </c>
      <c r="G20" s="186">
        <f>+F20*828116</f>
        <v>1740617020.4000001</v>
      </c>
      <c r="H20" s="187" t="s">
        <v>380</v>
      </c>
      <c r="I20" s="182"/>
    </row>
    <row r="21" spans="1:14" ht="87.75" customHeight="1" x14ac:dyDescent="0.25">
      <c r="A21" s="188">
        <v>3</v>
      </c>
      <c r="B21" s="182" t="s">
        <v>381</v>
      </c>
      <c r="C21" s="182" t="s">
        <v>375</v>
      </c>
      <c r="D21" s="183">
        <v>14</v>
      </c>
      <c r="E21" s="189" t="s">
        <v>0</v>
      </c>
      <c r="F21" s="185">
        <v>2212.5300000000002</v>
      </c>
      <c r="G21" s="186">
        <f>+F21*828116</f>
        <v>1832231493.4800003</v>
      </c>
      <c r="H21" s="187" t="s">
        <v>382</v>
      </c>
      <c r="I21" s="182"/>
    </row>
    <row r="22" spans="1:14" ht="89.25" customHeight="1" x14ac:dyDescent="0.25">
      <c r="A22" s="188">
        <v>4</v>
      </c>
      <c r="B22" s="182" t="s">
        <v>383</v>
      </c>
      <c r="C22" s="182" t="s">
        <v>375</v>
      </c>
      <c r="D22" s="183">
        <v>54</v>
      </c>
      <c r="E22" s="189" t="s">
        <v>0</v>
      </c>
      <c r="F22" s="185">
        <v>2118.86</v>
      </c>
      <c r="G22" s="186">
        <f>+F22*828116</f>
        <v>1754661867.76</v>
      </c>
      <c r="H22" s="187" t="s">
        <v>384</v>
      </c>
      <c r="I22" s="182"/>
    </row>
    <row r="23" spans="1:14" ht="65.099999999999994" customHeight="1" x14ac:dyDescent="0.25">
      <c r="A23" s="32"/>
      <c r="B23" s="2"/>
      <c r="C23" s="2"/>
      <c r="D23" s="2"/>
      <c r="E23" s="2"/>
      <c r="F23" s="130"/>
      <c r="G23" s="131"/>
      <c r="H23" s="24"/>
      <c r="I23" s="132"/>
    </row>
    <row r="24" spans="1:14" x14ac:dyDescent="0.25">
      <c r="B24" s="2"/>
      <c r="D24" s="2"/>
      <c r="E24" s="32" t="s">
        <v>35</v>
      </c>
      <c r="F24" s="25">
        <f>SUM(F19:F23)</f>
        <v>8064.25</v>
      </c>
      <c r="G24" s="40">
        <f>SUM(G19:G23)</f>
        <v>6678134453.000001</v>
      </c>
      <c r="H24" s="26"/>
    </row>
    <row r="25" spans="1:14" x14ac:dyDescent="0.25">
      <c r="B25" s="34"/>
      <c r="D25" s="34"/>
      <c r="E25" s="42" t="s">
        <v>18</v>
      </c>
      <c r="F25" s="43"/>
      <c r="G25" s="44">
        <f>+G24/828116</f>
        <v>8064.2500000000009</v>
      </c>
      <c r="H25" s="41"/>
    </row>
    <row r="27" spans="1:14" ht="43.5" customHeight="1" x14ac:dyDescent="0.25">
      <c r="B27" s="305" t="s">
        <v>44</v>
      </c>
      <c r="C27" s="305"/>
      <c r="D27" s="305"/>
      <c r="E27" s="305"/>
      <c r="F27" s="305"/>
      <c r="G27" s="305"/>
      <c r="H27" s="306"/>
      <c r="I27" s="306"/>
      <c r="J27" s="306"/>
      <c r="K27" s="306"/>
      <c r="L27" s="306"/>
      <c r="M27" s="306"/>
      <c r="N27" s="306"/>
    </row>
    <row r="28" spans="1:14" ht="31.5" customHeight="1" x14ac:dyDescent="0.25">
      <c r="B28" s="307" t="s">
        <v>45</v>
      </c>
      <c r="C28" s="307"/>
      <c r="D28" s="307"/>
      <c r="E28" s="307"/>
      <c r="F28" s="307"/>
      <c r="G28" s="307"/>
      <c r="H28" s="308"/>
      <c r="I28" s="308"/>
      <c r="J28" s="308"/>
      <c r="K28" s="308"/>
      <c r="L28" s="308"/>
      <c r="M28" s="308"/>
      <c r="N28" s="308"/>
    </row>
    <row r="29" spans="1:14" ht="31.5" customHeight="1" x14ac:dyDescent="0.25">
      <c r="B29" s="307" t="s">
        <v>46</v>
      </c>
      <c r="C29" s="307"/>
      <c r="D29" s="307"/>
      <c r="E29" s="307"/>
      <c r="F29" s="307"/>
      <c r="G29" s="307"/>
      <c r="H29" s="309"/>
      <c r="I29" s="309"/>
      <c r="J29" s="309"/>
      <c r="K29" s="309"/>
      <c r="L29" s="309"/>
      <c r="M29" s="309"/>
      <c r="N29" s="309"/>
    </row>
    <row r="30" spans="1:14" ht="34.5" customHeight="1" x14ac:dyDescent="0.25">
      <c r="B30" s="307" t="s">
        <v>47</v>
      </c>
      <c r="C30" s="310"/>
      <c r="D30" s="310"/>
      <c r="E30" s="310"/>
      <c r="F30" s="310"/>
      <c r="G30" s="310"/>
      <c r="H30" s="309"/>
      <c r="I30" s="309"/>
      <c r="J30" s="309"/>
      <c r="K30" s="309"/>
      <c r="L30" s="309"/>
      <c r="M30" s="309"/>
      <c r="N30" s="309"/>
    </row>
    <row r="31" spans="1:14" ht="34.5" customHeight="1" x14ac:dyDescent="0.25">
      <c r="B31" s="307" t="s">
        <v>48</v>
      </c>
      <c r="C31" s="310"/>
      <c r="D31" s="310"/>
      <c r="E31" s="310"/>
      <c r="F31" s="310"/>
      <c r="G31" s="310"/>
      <c r="H31" s="309"/>
      <c r="I31" s="309"/>
      <c r="J31" s="309"/>
      <c r="K31" s="309"/>
      <c r="L31" s="309"/>
      <c r="M31" s="309"/>
      <c r="N31" s="309"/>
    </row>
    <row r="32" spans="1:14" x14ac:dyDescent="0.25">
      <c r="B32" s="27"/>
      <c r="G32" s="28"/>
    </row>
    <row r="35" spans="2:10" x14ac:dyDescent="0.25">
      <c r="B35" s="311" t="s">
        <v>49</v>
      </c>
      <c r="C35" s="311"/>
      <c r="D35" s="311"/>
    </row>
    <row r="36" spans="2:10" x14ac:dyDescent="0.25">
      <c r="B36" s="20"/>
    </row>
    <row r="41" spans="2:10" x14ac:dyDescent="0.25">
      <c r="H41" s="29"/>
      <c r="I41" s="30"/>
      <c r="J41" s="31"/>
    </row>
    <row r="42" spans="2:10" x14ac:dyDescent="0.25">
      <c r="H42" s="29"/>
      <c r="I42" s="30"/>
      <c r="J42" s="31"/>
    </row>
  </sheetData>
  <mergeCells count="18">
    <mergeCell ref="B2:I2"/>
    <mergeCell ref="B3:I3"/>
    <mergeCell ref="B4:I4"/>
    <mergeCell ref="E6:F6"/>
    <mergeCell ref="E7:F8"/>
    <mergeCell ref="G7:G9"/>
    <mergeCell ref="E9:F9"/>
    <mergeCell ref="B27:G27"/>
    <mergeCell ref="H27:N27"/>
    <mergeCell ref="B28:G28"/>
    <mergeCell ref="H28:N28"/>
    <mergeCell ref="B29:G29"/>
    <mergeCell ref="H29:N29"/>
    <mergeCell ref="B30:G30"/>
    <mergeCell ref="H30:N30"/>
    <mergeCell ref="B31:G31"/>
    <mergeCell ref="H31:N31"/>
    <mergeCell ref="B35:D35"/>
  </mergeCells>
  <pageMargins left="0.7" right="0.7" top="0.75" bottom="0.75" header="0.3" footer="0.3"/>
  <pageSetup scale="32" orientation="portrait" r:id="rId1"/>
  <colBreaks count="1" manualBreakCount="1">
    <brk id="9"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39"/>
  <sheetViews>
    <sheetView view="pageBreakPreview" topLeftCell="A3" zoomScale="60" zoomScaleNormal="100" workbookViewId="0">
      <selection activeCell="E32" sqref="E32"/>
    </sheetView>
  </sheetViews>
  <sheetFormatPr baseColWidth="10" defaultRowHeight="15" x14ac:dyDescent="0.25"/>
  <cols>
    <col min="1" max="1" width="7.5703125" style="20" customWidth="1"/>
    <col min="2" max="2" width="25.5703125" style="22" customWidth="1"/>
    <col min="3" max="3" width="40.42578125" style="22" customWidth="1"/>
    <col min="4" max="4" width="18.7109375" style="20" customWidth="1"/>
    <col min="5" max="5" width="15.5703125" style="20" customWidth="1"/>
    <col min="6" max="6" width="25.140625" style="20" customWidth="1"/>
    <col min="7" max="7" width="34" style="20" bestFit="1" customWidth="1"/>
    <col min="8" max="8" width="36.28515625" style="20" customWidth="1"/>
    <col min="9" max="9" width="76.85546875" style="20" customWidth="1"/>
    <col min="10" max="10" width="11.42578125" style="20"/>
    <col min="11" max="11" width="12.28515625" style="20" bestFit="1" customWidth="1"/>
    <col min="12" max="12" width="11.42578125" style="20"/>
    <col min="13" max="13" width="10.85546875" style="20" bestFit="1" customWidth="1"/>
    <col min="14" max="14" width="6.28515625" style="20" customWidth="1"/>
    <col min="15" max="16384" width="11.42578125" style="20"/>
  </cols>
  <sheetData>
    <row r="2" spans="2:9" ht="23.25" x14ac:dyDescent="0.25">
      <c r="B2" s="293" t="s">
        <v>26</v>
      </c>
      <c r="C2" s="293"/>
      <c r="D2" s="293"/>
      <c r="E2" s="293"/>
      <c r="F2" s="293"/>
      <c r="G2" s="293"/>
      <c r="H2" s="293"/>
      <c r="I2" s="293"/>
    </row>
    <row r="3" spans="2:9" ht="23.25" x14ac:dyDescent="0.25">
      <c r="B3" s="293" t="s">
        <v>37</v>
      </c>
      <c r="C3" s="293"/>
      <c r="D3" s="293"/>
      <c r="E3" s="293"/>
      <c r="F3" s="293"/>
      <c r="G3" s="293"/>
      <c r="H3" s="293"/>
      <c r="I3" s="293"/>
    </row>
    <row r="4" spans="2:9" ht="23.25" x14ac:dyDescent="0.25">
      <c r="B4" s="293" t="s">
        <v>27</v>
      </c>
      <c r="C4" s="293"/>
      <c r="D4" s="293"/>
      <c r="E4" s="293"/>
      <c r="F4" s="293"/>
      <c r="G4" s="293"/>
      <c r="H4" s="293"/>
      <c r="I4" s="293"/>
    </row>
    <row r="5" spans="2:9" ht="15.75" thickBot="1" x14ac:dyDescent="0.3"/>
    <row r="6" spans="2:9" ht="90" customHeight="1" x14ac:dyDescent="0.25">
      <c r="B6" s="191" t="s">
        <v>180</v>
      </c>
      <c r="C6" s="173" t="s">
        <v>385</v>
      </c>
      <c r="D6" s="174" t="s">
        <v>50</v>
      </c>
      <c r="E6" s="315" t="s">
        <v>52</v>
      </c>
      <c r="F6" s="315"/>
      <c r="G6" s="45" t="s">
        <v>0</v>
      </c>
      <c r="H6" s="109"/>
      <c r="I6" s="109"/>
    </row>
    <row r="7" spans="2:9" ht="34.5" customHeight="1" x14ac:dyDescent="0.25">
      <c r="B7" s="175"/>
      <c r="C7" s="176" t="s">
        <v>385</v>
      </c>
      <c r="D7" s="176">
        <v>1</v>
      </c>
      <c r="E7" s="316" t="s">
        <v>53</v>
      </c>
      <c r="F7" s="316"/>
      <c r="G7" s="317" t="s">
        <v>1</v>
      </c>
      <c r="H7" s="33"/>
      <c r="I7" s="34"/>
    </row>
    <row r="8" spans="2:9" ht="58.5" customHeight="1" x14ac:dyDescent="0.25">
      <c r="B8" s="175"/>
      <c r="C8" s="177"/>
      <c r="D8" s="176"/>
      <c r="E8" s="316"/>
      <c r="F8" s="316"/>
      <c r="G8" s="317"/>
      <c r="H8" s="35"/>
      <c r="I8" s="34"/>
    </row>
    <row r="9" spans="2:9" ht="39.75" customHeight="1" thickBot="1" x14ac:dyDescent="0.3">
      <c r="B9" s="178"/>
      <c r="C9" s="179"/>
      <c r="D9" s="180"/>
      <c r="E9" s="319" t="s">
        <v>51</v>
      </c>
      <c r="F9" s="319"/>
      <c r="G9" s="318"/>
      <c r="H9" s="35"/>
      <c r="I9" s="34"/>
    </row>
    <row r="11" spans="2:9" x14ac:dyDescent="0.25">
      <c r="B11" s="21" t="s">
        <v>28</v>
      </c>
      <c r="C11" s="32" t="s">
        <v>29</v>
      </c>
      <c r="D11" s="32" t="s">
        <v>18</v>
      </c>
      <c r="E11" s="32" t="s">
        <v>0</v>
      </c>
    </row>
    <row r="12" spans="2:9" x14ac:dyDescent="0.25">
      <c r="B12" s="36" t="s">
        <v>30</v>
      </c>
      <c r="C12" s="37">
        <v>5437884572</v>
      </c>
      <c r="D12" s="38">
        <f>+C12/828116</f>
        <v>6566.5734897043412</v>
      </c>
      <c r="E12" s="38"/>
    </row>
    <row r="13" spans="2:9" x14ac:dyDescent="0.25">
      <c r="B13" s="36" t="s">
        <v>38</v>
      </c>
      <c r="C13" s="37">
        <f>+C12*0.75</f>
        <v>4078413429</v>
      </c>
      <c r="D13" s="38">
        <f>+C13/828116</f>
        <v>4924.9301172782561</v>
      </c>
      <c r="E13" s="102" t="s">
        <v>0</v>
      </c>
    </row>
    <row r="14" spans="2:9" x14ac:dyDescent="0.25">
      <c r="B14" s="36" t="s">
        <v>39</v>
      </c>
      <c r="C14" s="37">
        <f>+C12*1.2</f>
        <v>6525461486.3999996</v>
      </c>
      <c r="D14" s="38">
        <f>+C14/828116</f>
        <v>7879.8881876452087</v>
      </c>
      <c r="E14" s="38"/>
    </row>
    <row r="15" spans="2:9" x14ac:dyDescent="0.25">
      <c r="B15" s="36" t="s">
        <v>40</v>
      </c>
      <c r="C15" s="37">
        <f>+C12*1.5</f>
        <v>8156826858</v>
      </c>
      <c r="D15" s="38">
        <f>+C15/828116</f>
        <v>9849.8602345565123</v>
      </c>
      <c r="E15" s="38"/>
    </row>
    <row r="17" spans="1:14" x14ac:dyDescent="0.25">
      <c r="B17" s="23" t="s">
        <v>31</v>
      </c>
      <c r="C17" s="23"/>
      <c r="D17" s="23"/>
    </row>
    <row r="18" spans="1:14" ht="30" x14ac:dyDescent="0.25">
      <c r="B18" s="32" t="s">
        <v>32</v>
      </c>
      <c r="C18" s="21" t="s">
        <v>33</v>
      </c>
      <c r="D18" s="32" t="s">
        <v>34</v>
      </c>
      <c r="E18" s="21" t="s">
        <v>54</v>
      </c>
      <c r="F18" s="21" t="s">
        <v>41</v>
      </c>
      <c r="G18" s="21" t="s">
        <v>42</v>
      </c>
      <c r="H18" s="21" t="s">
        <v>43</v>
      </c>
      <c r="I18" s="32" t="s">
        <v>17</v>
      </c>
    </row>
    <row r="19" spans="1:14" ht="115.5" customHeight="1" x14ac:dyDescent="0.25">
      <c r="A19" s="32">
        <v>1</v>
      </c>
      <c r="B19" s="182" t="s">
        <v>386</v>
      </c>
      <c r="C19" s="182" t="s">
        <v>385</v>
      </c>
      <c r="D19" s="183">
        <v>39</v>
      </c>
      <c r="E19" s="189" t="s">
        <v>0</v>
      </c>
      <c r="F19" s="185">
        <f>20356.42/2</f>
        <v>10178.209999999999</v>
      </c>
      <c r="G19" s="186">
        <f>+F19*828116</f>
        <v>8428738552.3599997</v>
      </c>
      <c r="H19" s="187" t="s">
        <v>387</v>
      </c>
      <c r="I19" s="182"/>
    </row>
    <row r="20" spans="1:14" ht="82.5" customHeight="1" x14ac:dyDescent="0.25">
      <c r="A20" s="188"/>
      <c r="B20" s="182"/>
      <c r="C20" s="182"/>
      <c r="D20" s="189"/>
      <c r="E20" s="189"/>
      <c r="F20" s="192"/>
      <c r="G20" s="186"/>
      <c r="H20" s="187"/>
      <c r="I20" s="182"/>
    </row>
    <row r="21" spans="1:14" x14ac:dyDescent="0.25">
      <c r="B21" s="2"/>
      <c r="D21" s="2"/>
      <c r="E21" s="32" t="s">
        <v>35</v>
      </c>
      <c r="F21" s="25">
        <f>SUM(F19:F20)</f>
        <v>10178.209999999999</v>
      </c>
      <c r="G21" s="40">
        <f>SUM(G19:G20)</f>
        <v>8428738552.3599997</v>
      </c>
      <c r="H21" s="26"/>
    </row>
    <row r="22" spans="1:14" x14ac:dyDescent="0.25">
      <c r="B22" s="34"/>
      <c r="D22" s="34"/>
      <c r="E22" s="42" t="s">
        <v>18</v>
      </c>
      <c r="F22" s="43"/>
      <c r="G22" s="44">
        <f>+G21/828116</f>
        <v>10178.209999999999</v>
      </c>
      <c r="H22" s="41"/>
    </row>
    <row r="23" spans="1:14" x14ac:dyDescent="0.25">
      <c r="F23" s="150"/>
    </row>
    <row r="24" spans="1:14" ht="43.5" customHeight="1" x14ac:dyDescent="0.25">
      <c r="B24" s="305" t="s">
        <v>44</v>
      </c>
      <c r="C24" s="305"/>
      <c r="D24" s="305"/>
      <c r="E24" s="305"/>
      <c r="F24" s="305"/>
      <c r="G24" s="305"/>
      <c r="H24" s="306"/>
      <c r="I24" s="306"/>
      <c r="J24" s="306"/>
      <c r="K24" s="306"/>
      <c r="L24" s="306"/>
      <c r="M24" s="306"/>
      <c r="N24" s="306"/>
    </row>
    <row r="25" spans="1:14" ht="31.5" customHeight="1" x14ac:dyDescent="0.25">
      <c r="B25" s="307" t="s">
        <v>45</v>
      </c>
      <c r="C25" s="307"/>
      <c r="D25" s="307"/>
      <c r="E25" s="307"/>
      <c r="F25" s="307"/>
      <c r="G25" s="307"/>
      <c r="H25" s="308"/>
      <c r="I25" s="308"/>
      <c r="J25" s="308"/>
      <c r="K25" s="308"/>
      <c r="L25" s="308"/>
      <c r="M25" s="308"/>
      <c r="N25" s="308"/>
    </row>
    <row r="26" spans="1:14" ht="31.5" customHeight="1" x14ac:dyDescent="0.25">
      <c r="B26" s="307" t="s">
        <v>46</v>
      </c>
      <c r="C26" s="307"/>
      <c r="D26" s="307"/>
      <c r="E26" s="307"/>
      <c r="F26" s="307"/>
      <c r="G26" s="307"/>
      <c r="H26" s="309"/>
      <c r="I26" s="309"/>
      <c r="J26" s="309"/>
      <c r="K26" s="309"/>
      <c r="L26" s="309"/>
      <c r="M26" s="309"/>
      <c r="N26" s="309"/>
    </row>
    <row r="27" spans="1:14" ht="34.5" customHeight="1" x14ac:dyDescent="0.25">
      <c r="B27" s="307" t="s">
        <v>47</v>
      </c>
      <c r="C27" s="310"/>
      <c r="D27" s="310"/>
      <c r="E27" s="310"/>
      <c r="F27" s="310"/>
      <c r="G27" s="310"/>
      <c r="H27" s="309"/>
      <c r="I27" s="309"/>
      <c r="J27" s="309"/>
      <c r="K27" s="309"/>
      <c r="L27" s="309"/>
      <c r="M27" s="309"/>
      <c r="N27" s="309"/>
    </row>
    <row r="28" spans="1:14" ht="34.5" customHeight="1" x14ac:dyDescent="0.25">
      <c r="B28" s="307" t="s">
        <v>48</v>
      </c>
      <c r="C28" s="310"/>
      <c r="D28" s="310"/>
      <c r="E28" s="310"/>
      <c r="F28" s="310"/>
      <c r="G28" s="310"/>
      <c r="H28" s="309"/>
      <c r="I28" s="309"/>
      <c r="J28" s="309"/>
      <c r="K28" s="309"/>
      <c r="L28" s="309"/>
      <c r="M28" s="309"/>
      <c r="N28" s="309"/>
    </row>
    <row r="29" spans="1:14" x14ac:dyDescent="0.25">
      <c r="B29" s="27"/>
      <c r="G29" s="28"/>
    </row>
    <row r="32" spans="1:14" x14ac:dyDescent="0.25">
      <c r="B32" s="311" t="s">
        <v>49</v>
      </c>
      <c r="C32" s="311"/>
      <c r="D32" s="311"/>
    </row>
    <row r="33" spans="2:10" x14ac:dyDescent="0.25">
      <c r="B33" s="20"/>
    </row>
    <row r="38" spans="2:10" x14ac:dyDescent="0.25">
      <c r="H38" s="29"/>
      <c r="I38" s="30"/>
      <c r="J38" s="31"/>
    </row>
    <row r="39" spans="2:10" x14ac:dyDescent="0.25">
      <c r="H39" s="29"/>
      <c r="I39" s="30"/>
      <c r="J39" s="31"/>
    </row>
  </sheetData>
  <mergeCells count="18">
    <mergeCell ref="B2:I2"/>
    <mergeCell ref="B3:I3"/>
    <mergeCell ref="B4:I4"/>
    <mergeCell ref="E6:F6"/>
    <mergeCell ref="E7:F8"/>
    <mergeCell ref="G7:G9"/>
    <mergeCell ref="E9:F9"/>
    <mergeCell ref="B24:G24"/>
    <mergeCell ref="H24:N24"/>
    <mergeCell ref="B25:G25"/>
    <mergeCell ref="H25:N25"/>
    <mergeCell ref="B26:G26"/>
    <mergeCell ref="H26:N26"/>
    <mergeCell ref="B27:G27"/>
    <mergeCell ref="H27:N27"/>
    <mergeCell ref="B28:G28"/>
    <mergeCell ref="H28:N28"/>
    <mergeCell ref="B32:D32"/>
  </mergeCells>
  <pageMargins left="0.7" right="0.7" top="0.75" bottom="0.75" header="0.3" footer="0.3"/>
  <pageSetup scale="32" orientation="portrait" r:id="rId1"/>
  <colBreaks count="1" manualBreakCount="1">
    <brk id="9"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40"/>
  <sheetViews>
    <sheetView view="pageBreakPreview" topLeftCell="A7" zoomScale="60" zoomScaleNormal="100" workbookViewId="0">
      <selection activeCell="E33" sqref="E33"/>
    </sheetView>
  </sheetViews>
  <sheetFormatPr baseColWidth="10" defaultRowHeight="15" x14ac:dyDescent="0.25"/>
  <cols>
    <col min="1" max="1" width="7.5703125" style="20" customWidth="1"/>
    <col min="2" max="2" width="25.5703125" style="22" customWidth="1"/>
    <col min="3" max="3" width="40.42578125" style="22" customWidth="1"/>
    <col min="4" max="4" width="18.7109375" style="20" customWidth="1"/>
    <col min="5" max="5" width="15.5703125" style="20" customWidth="1"/>
    <col min="6" max="6" width="25.140625" style="20" customWidth="1"/>
    <col min="7" max="7" width="34" style="20" bestFit="1" customWidth="1"/>
    <col min="8" max="8" width="36.28515625" style="20" customWidth="1"/>
    <col min="9" max="9" width="76.85546875" style="20" customWidth="1"/>
    <col min="10" max="10" width="11.42578125" style="20"/>
    <col min="11" max="11" width="12.28515625" style="20" bestFit="1" customWidth="1"/>
    <col min="12" max="12" width="11.42578125" style="20"/>
    <col min="13" max="13" width="10.85546875" style="20" bestFit="1" customWidth="1"/>
    <col min="14" max="14" width="6.28515625" style="20" customWidth="1"/>
    <col min="15" max="16384" width="11.42578125" style="20"/>
  </cols>
  <sheetData>
    <row r="2" spans="2:9" ht="23.25" x14ac:dyDescent="0.25">
      <c r="B2" s="293" t="s">
        <v>26</v>
      </c>
      <c r="C2" s="293"/>
      <c r="D2" s="293"/>
      <c r="E2" s="293"/>
      <c r="F2" s="293"/>
      <c r="G2" s="293"/>
      <c r="H2" s="293"/>
      <c r="I2" s="293"/>
    </row>
    <row r="3" spans="2:9" ht="23.25" x14ac:dyDescent="0.25">
      <c r="B3" s="293" t="s">
        <v>37</v>
      </c>
      <c r="C3" s="293"/>
      <c r="D3" s="293"/>
      <c r="E3" s="293"/>
      <c r="F3" s="293"/>
      <c r="G3" s="293"/>
      <c r="H3" s="293"/>
      <c r="I3" s="293"/>
    </row>
    <row r="4" spans="2:9" ht="23.25" x14ac:dyDescent="0.25">
      <c r="B4" s="293" t="s">
        <v>27</v>
      </c>
      <c r="C4" s="293"/>
      <c r="D4" s="293"/>
      <c r="E4" s="293"/>
      <c r="F4" s="293"/>
      <c r="G4" s="293"/>
      <c r="H4" s="293"/>
      <c r="I4" s="293"/>
    </row>
    <row r="5" spans="2:9" ht="15.75" thickBot="1" x14ac:dyDescent="0.3"/>
    <row r="6" spans="2:9" ht="90" customHeight="1" x14ac:dyDescent="0.25">
      <c r="B6" s="191" t="s">
        <v>180</v>
      </c>
      <c r="C6" s="173" t="s">
        <v>388</v>
      </c>
      <c r="D6" s="174" t="s">
        <v>50</v>
      </c>
      <c r="E6" s="315" t="s">
        <v>52</v>
      </c>
      <c r="F6" s="315"/>
      <c r="G6" s="45" t="s">
        <v>0</v>
      </c>
      <c r="H6" s="109"/>
      <c r="I6" s="109"/>
    </row>
    <row r="7" spans="2:9" ht="34.5" customHeight="1" x14ac:dyDescent="0.25">
      <c r="B7" s="175"/>
      <c r="C7" s="176" t="s">
        <v>389</v>
      </c>
      <c r="D7" s="176">
        <v>0.51</v>
      </c>
      <c r="E7" s="316" t="s">
        <v>53</v>
      </c>
      <c r="F7" s="316"/>
      <c r="G7" s="317" t="s">
        <v>1</v>
      </c>
      <c r="H7" s="33"/>
      <c r="I7" s="34"/>
    </row>
    <row r="8" spans="2:9" ht="58.5" customHeight="1" x14ac:dyDescent="0.25">
      <c r="B8" s="175"/>
      <c r="C8" s="177" t="s">
        <v>390</v>
      </c>
      <c r="D8" s="176">
        <v>0.49</v>
      </c>
      <c r="E8" s="316"/>
      <c r="F8" s="316"/>
      <c r="G8" s="317"/>
      <c r="H8" s="35"/>
      <c r="I8" s="34"/>
    </row>
    <row r="9" spans="2:9" ht="39.75" customHeight="1" thickBot="1" x14ac:dyDescent="0.3">
      <c r="B9" s="178"/>
      <c r="C9" s="179"/>
      <c r="D9" s="180"/>
      <c r="E9" s="319" t="s">
        <v>51</v>
      </c>
      <c r="F9" s="319"/>
      <c r="G9" s="318"/>
      <c r="H9" s="35"/>
      <c r="I9" s="34"/>
    </row>
    <row r="11" spans="2:9" x14ac:dyDescent="0.25">
      <c r="B11" s="21" t="s">
        <v>28</v>
      </c>
      <c r="C11" s="32" t="s">
        <v>29</v>
      </c>
      <c r="D11" s="32" t="s">
        <v>18</v>
      </c>
      <c r="E11" s="32" t="s">
        <v>0</v>
      </c>
    </row>
    <row r="12" spans="2:9" x14ac:dyDescent="0.25">
      <c r="B12" s="36" t="s">
        <v>30</v>
      </c>
      <c r="C12" s="37">
        <v>5437884572</v>
      </c>
      <c r="D12" s="38">
        <f>+C12/828116</f>
        <v>6566.5734897043412</v>
      </c>
      <c r="E12" s="38"/>
    </row>
    <row r="13" spans="2:9" x14ac:dyDescent="0.25">
      <c r="B13" s="36" t="s">
        <v>38</v>
      </c>
      <c r="C13" s="37">
        <f>+C12*0.75</f>
        <v>4078413429</v>
      </c>
      <c r="D13" s="38">
        <f>+C13/828116</f>
        <v>4924.9301172782561</v>
      </c>
      <c r="E13" s="198" t="s">
        <v>192</v>
      </c>
    </row>
    <row r="14" spans="2:9" x14ac:dyDescent="0.25">
      <c r="B14" s="36" t="s">
        <v>39</v>
      </c>
      <c r="C14" s="37">
        <f>+C12*1.2</f>
        <v>6525461486.3999996</v>
      </c>
      <c r="D14" s="38">
        <f>+C14/828116</f>
        <v>7879.8881876452087</v>
      </c>
      <c r="E14" s="38"/>
    </row>
    <row r="15" spans="2:9" x14ac:dyDescent="0.25">
      <c r="B15" s="36" t="s">
        <v>40</v>
      </c>
      <c r="C15" s="37">
        <f>+C12*1.5</f>
        <v>8156826858</v>
      </c>
      <c r="D15" s="38">
        <f>+C15/828116</f>
        <v>9849.8602345565123</v>
      </c>
      <c r="E15" s="38"/>
    </row>
    <row r="17" spans="1:14" x14ac:dyDescent="0.25">
      <c r="B17" s="23" t="s">
        <v>31</v>
      </c>
      <c r="C17" s="23"/>
      <c r="D17" s="23"/>
    </row>
    <row r="18" spans="1:14" ht="30" x14ac:dyDescent="0.25">
      <c r="B18" s="32" t="s">
        <v>32</v>
      </c>
      <c r="C18" s="21" t="s">
        <v>33</v>
      </c>
      <c r="D18" s="32" t="s">
        <v>34</v>
      </c>
      <c r="E18" s="21" t="s">
        <v>54</v>
      </c>
      <c r="F18" s="21" t="s">
        <v>41</v>
      </c>
      <c r="G18" s="21" t="s">
        <v>42</v>
      </c>
      <c r="H18" s="21" t="s">
        <v>43</v>
      </c>
      <c r="I18" s="32" t="s">
        <v>17</v>
      </c>
    </row>
    <row r="19" spans="1:14" ht="115.5" customHeight="1" x14ac:dyDescent="0.25">
      <c r="A19" s="32">
        <v>1</v>
      </c>
      <c r="B19" s="182" t="s">
        <v>391</v>
      </c>
      <c r="C19" s="182" t="s">
        <v>392</v>
      </c>
      <c r="D19" s="183">
        <v>150</v>
      </c>
      <c r="E19" s="189" t="s">
        <v>0</v>
      </c>
      <c r="F19" s="185">
        <f>2966.47</f>
        <v>2966.47</v>
      </c>
      <c r="G19" s="186">
        <f>+F19*828116</f>
        <v>2456581270.52</v>
      </c>
      <c r="H19" s="187" t="s">
        <v>393</v>
      </c>
      <c r="I19" s="182"/>
    </row>
    <row r="20" spans="1:14" ht="82.5" customHeight="1" x14ac:dyDescent="0.25">
      <c r="A20" s="193">
        <v>2</v>
      </c>
      <c r="B20" s="194" t="s">
        <v>394</v>
      </c>
      <c r="C20" s="194" t="s">
        <v>389</v>
      </c>
      <c r="D20" s="189">
        <v>35</v>
      </c>
      <c r="E20" s="189" t="s">
        <v>0</v>
      </c>
      <c r="F20" s="192">
        <v>2037.65</v>
      </c>
      <c r="G20" s="195">
        <f>+F20*828116</f>
        <v>1687410567.4000001</v>
      </c>
      <c r="H20" s="196" t="s">
        <v>395</v>
      </c>
      <c r="I20" s="182"/>
    </row>
    <row r="21" spans="1:14" ht="65.099999999999994" customHeight="1" x14ac:dyDescent="0.25">
      <c r="A21" s="32"/>
      <c r="B21" s="2"/>
      <c r="C21" s="2"/>
      <c r="D21" s="2"/>
      <c r="E21" s="2"/>
      <c r="F21" s="130"/>
      <c r="G21" s="131"/>
      <c r="H21" s="24" t="s">
        <v>396</v>
      </c>
      <c r="I21" s="132"/>
    </row>
    <row r="22" spans="1:14" x14ac:dyDescent="0.25">
      <c r="B22" s="2"/>
      <c r="D22" s="2"/>
      <c r="E22" s="32" t="s">
        <v>35</v>
      </c>
      <c r="F22" s="25">
        <f>SUM(F19:F21)</f>
        <v>5004.12</v>
      </c>
      <c r="G22" s="40">
        <f>SUM(G19:G21)</f>
        <v>4143991837.9200001</v>
      </c>
      <c r="H22" s="26"/>
    </row>
    <row r="23" spans="1:14" x14ac:dyDescent="0.25">
      <c r="B23" s="34"/>
      <c r="D23" s="34"/>
      <c r="E23" s="42" t="s">
        <v>18</v>
      </c>
      <c r="F23" s="43"/>
      <c r="G23" s="44">
        <f>+G22/828116</f>
        <v>5004.12</v>
      </c>
      <c r="H23" s="41"/>
    </row>
    <row r="25" spans="1:14" ht="43.5" customHeight="1" x14ac:dyDescent="0.25">
      <c r="B25" s="305" t="s">
        <v>44</v>
      </c>
      <c r="C25" s="305"/>
      <c r="D25" s="305"/>
      <c r="E25" s="305"/>
      <c r="F25" s="305"/>
      <c r="G25" s="305"/>
      <c r="H25" s="306"/>
      <c r="I25" s="306"/>
      <c r="J25" s="306"/>
      <c r="K25" s="306"/>
      <c r="L25" s="306"/>
      <c r="M25" s="306"/>
      <c r="N25" s="306"/>
    </row>
    <row r="26" spans="1:14" ht="31.5" customHeight="1" x14ac:dyDescent="0.25">
      <c r="B26" s="307" t="s">
        <v>45</v>
      </c>
      <c r="C26" s="307"/>
      <c r="D26" s="307"/>
      <c r="E26" s="307"/>
      <c r="F26" s="307"/>
      <c r="G26" s="307"/>
      <c r="H26" s="308"/>
      <c r="I26" s="308"/>
      <c r="J26" s="308"/>
      <c r="K26" s="308"/>
      <c r="L26" s="308"/>
      <c r="M26" s="308"/>
      <c r="N26" s="308"/>
    </row>
    <row r="27" spans="1:14" ht="31.5" customHeight="1" x14ac:dyDescent="0.25">
      <c r="B27" s="307" t="s">
        <v>46</v>
      </c>
      <c r="C27" s="307"/>
      <c r="D27" s="307"/>
      <c r="E27" s="307"/>
      <c r="F27" s="307"/>
      <c r="G27" s="307"/>
      <c r="H27" s="309"/>
      <c r="I27" s="309"/>
      <c r="J27" s="309"/>
      <c r="K27" s="309"/>
      <c r="L27" s="309"/>
      <c r="M27" s="309"/>
      <c r="N27" s="309"/>
    </row>
    <row r="28" spans="1:14" ht="34.5" customHeight="1" x14ac:dyDescent="0.25">
      <c r="B28" s="307" t="s">
        <v>47</v>
      </c>
      <c r="C28" s="310"/>
      <c r="D28" s="310"/>
      <c r="E28" s="310"/>
      <c r="F28" s="310"/>
      <c r="G28" s="310"/>
      <c r="H28" s="309"/>
      <c r="I28" s="309"/>
      <c r="J28" s="309"/>
      <c r="K28" s="309"/>
      <c r="L28" s="309"/>
      <c r="M28" s="309"/>
      <c r="N28" s="309"/>
    </row>
    <row r="29" spans="1:14" ht="34.5" customHeight="1" x14ac:dyDescent="0.25">
      <c r="B29" s="307" t="s">
        <v>48</v>
      </c>
      <c r="C29" s="310"/>
      <c r="D29" s="310"/>
      <c r="E29" s="310"/>
      <c r="F29" s="310"/>
      <c r="G29" s="310"/>
      <c r="H29" s="309"/>
      <c r="I29" s="309"/>
      <c r="J29" s="309"/>
      <c r="K29" s="309"/>
      <c r="L29" s="309"/>
      <c r="M29" s="309"/>
      <c r="N29" s="309"/>
    </row>
    <row r="30" spans="1:14" x14ac:dyDescent="0.25">
      <c r="B30" s="27"/>
      <c r="G30" s="28"/>
    </row>
    <row r="33" spans="2:10" x14ac:dyDescent="0.25">
      <c r="B33" s="311" t="s">
        <v>49</v>
      </c>
      <c r="C33" s="311"/>
      <c r="D33" s="311"/>
    </row>
    <row r="34" spans="2:10" x14ac:dyDescent="0.25">
      <c r="B34" s="20"/>
    </row>
    <row r="39" spans="2:10" x14ac:dyDescent="0.25">
      <c r="H39" s="29"/>
      <c r="I39" s="30"/>
      <c r="J39" s="31"/>
    </row>
    <row r="40" spans="2:10" x14ac:dyDescent="0.25">
      <c r="H40" s="29"/>
      <c r="I40" s="30"/>
      <c r="J40" s="31"/>
    </row>
  </sheetData>
  <mergeCells count="18">
    <mergeCell ref="B2:I2"/>
    <mergeCell ref="B3:I3"/>
    <mergeCell ref="B4:I4"/>
    <mergeCell ref="E6:F6"/>
    <mergeCell ref="E7:F8"/>
    <mergeCell ref="G7:G9"/>
    <mergeCell ref="E9:F9"/>
    <mergeCell ref="B25:G25"/>
    <mergeCell ref="H25:N25"/>
    <mergeCell ref="B26:G26"/>
    <mergeCell ref="H26:N26"/>
    <mergeCell ref="B27:G27"/>
    <mergeCell ref="H27:N27"/>
    <mergeCell ref="B28:G28"/>
    <mergeCell ref="H28:N28"/>
    <mergeCell ref="B29:G29"/>
    <mergeCell ref="H29:N29"/>
    <mergeCell ref="B33:D33"/>
  </mergeCells>
  <pageMargins left="0.7" right="0.7" top="0.75" bottom="0.75" header="0.3" footer="0.3"/>
  <pageSetup scale="32" orientation="portrait" r:id="rId1"/>
  <colBreaks count="1" manualBreakCount="1">
    <brk id="9"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40"/>
  <sheetViews>
    <sheetView view="pageBreakPreview" topLeftCell="A7" zoomScale="60" zoomScaleNormal="100" workbookViewId="0">
      <selection activeCell="E33" sqref="E33"/>
    </sheetView>
  </sheetViews>
  <sheetFormatPr baseColWidth="10" defaultRowHeight="15" x14ac:dyDescent="0.25"/>
  <cols>
    <col min="1" max="1" width="7.5703125" style="20" customWidth="1"/>
    <col min="2" max="2" width="25.5703125" style="22" customWidth="1"/>
    <col min="3" max="3" width="40.42578125" style="22" customWidth="1"/>
    <col min="4" max="4" width="18.7109375" style="20" customWidth="1"/>
    <col min="5" max="5" width="15.5703125" style="20" customWidth="1"/>
    <col min="6" max="6" width="25.140625" style="20" customWidth="1"/>
    <col min="7" max="7" width="34" style="20" bestFit="1" customWidth="1"/>
    <col min="8" max="8" width="36.28515625" style="20" customWidth="1"/>
    <col min="9" max="9" width="76.85546875" style="20" customWidth="1"/>
    <col min="10" max="10" width="11.42578125" style="20"/>
    <col min="11" max="11" width="12.28515625" style="20" bestFit="1" customWidth="1"/>
    <col min="12" max="12" width="11.42578125" style="20"/>
    <col min="13" max="13" width="10.85546875" style="20" bestFit="1" customWidth="1"/>
    <col min="14" max="14" width="6.28515625" style="20" customWidth="1"/>
    <col min="15" max="16384" width="11.42578125" style="20"/>
  </cols>
  <sheetData>
    <row r="2" spans="2:9" ht="23.25" x14ac:dyDescent="0.25">
      <c r="B2" s="293" t="s">
        <v>26</v>
      </c>
      <c r="C2" s="293"/>
      <c r="D2" s="293"/>
      <c r="E2" s="293"/>
      <c r="F2" s="293"/>
      <c r="G2" s="293"/>
      <c r="H2" s="293"/>
      <c r="I2" s="293"/>
    </row>
    <row r="3" spans="2:9" ht="23.25" x14ac:dyDescent="0.25">
      <c r="B3" s="293" t="s">
        <v>37</v>
      </c>
      <c r="C3" s="293"/>
      <c r="D3" s="293"/>
      <c r="E3" s="293"/>
      <c r="F3" s="293"/>
      <c r="G3" s="293"/>
      <c r="H3" s="293"/>
      <c r="I3" s="293"/>
    </row>
    <row r="4" spans="2:9" ht="23.25" x14ac:dyDescent="0.25">
      <c r="B4" s="293" t="s">
        <v>27</v>
      </c>
      <c r="C4" s="293"/>
      <c r="D4" s="293"/>
      <c r="E4" s="293"/>
      <c r="F4" s="293"/>
      <c r="G4" s="293"/>
      <c r="H4" s="293"/>
      <c r="I4" s="293"/>
    </row>
    <row r="5" spans="2:9" ht="15.75" thickBot="1" x14ac:dyDescent="0.3"/>
    <row r="6" spans="2:9" ht="90" customHeight="1" x14ac:dyDescent="0.25">
      <c r="B6" s="191" t="s">
        <v>180</v>
      </c>
      <c r="C6" s="173" t="s">
        <v>397</v>
      </c>
      <c r="D6" s="174" t="s">
        <v>50</v>
      </c>
      <c r="E6" s="315" t="s">
        <v>52</v>
      </c>
      <c r="F6" s="315"/>
      <c r="G6" s="45" t="s">
        <v>0</v>
      </c>
      <c r="H6" s="109"/>
      <c r="I6" s="109"/>
    </row>
    <row r="7" spans="2:9" ht="34.5" customHeight="1" x14ac:dyDescent="0.25">
      <c r="B7" s="175"/>
      <c r="C7" s="176" t="s">
        <v>397</v>
      </c>
      <c r="D7" s="176">
        <v>1</v>
      </c>
      <c r="E7" s="316" t="s">
        <v>53</v>
      </c>
      <c r="F7" s="316"/>
      <c r="G7" s="317" t="s">
        <v>1</v>
      </c>
      <c r="H7" s="33"/>
      <c r="I7" s="34"/>
    </row>
    <row r="8" spans="2:9" ht="58.5" customHeight="1" x14ac:dyDescent="0.25">
      <c r="B8" s="175"/>
      <c r="C8" s="177"/>
      <c r="D8" s="176"/>
      <c r="E8" s="316"/>
      <c r="F8" s="316"/>
      <c r="G8" s="317"/>
      <c r="H8" s="35"/>
      <c r="I8" s="34"/>
    </row>
    <row r="9" spans="2:9" ht="39.75" customHeight="1" thickBot="1" x14ac:dyDescent="0.3">
      <c r="B9" s="178"/>
      <c r="C9" s="179"/>
      <c r="D9" s="180"/>
      <c r="E9" s="319" t="s">
        <v>51</v>
      </c>
      <c r="F9" s="319"/>
      <c r="G9" s="318"/>
      <c r="H9" s="35"/>
      <c r="I9" s="34"/>
    </row>
    <row r="11" spans="2:9" x14ac:dyDescent="0.25">
      <c r="B11" s="21" t="s">
        <v>28</v>
      </c>
      <c r="C11" s="32" t="s">
        <v>29</v>
      </c>
      <c r="D11" s="32" t="s">
        <v>18</v>
      </c>
      <c r="E11" s="32" t="s">
        <v>0</v>
      </c>
    </row>
    <row r="12" spans="2:9" x14ac:dyDescent="0.25">
      <c r="B12" s="36" t="s">
        <v>30</v>
      </c>
      <c r="C12" s="37">
        <v>5437884572</v>
      </c>
      <c r="D12" s="38">
        <f>+C12/828116</f>
        <v>6566.5734897043412</v>
      </c>
      <c r="E12" s="38"/>
    </row>
    <row r="13" spans="2:9" x14ac:dyDescent="0.25">
      <c r="B13" s="36" t="s">
        <v>38</v>
      </c>
      <c r="C13" s="37">
        <f>+C12*0.75</f>
        <v>4078413429</v>
      </c>
      <c r="D13" s="38">
        <f>+C13/828116</f>
        <v>4924.9301172782561</v>
      </c>
      <c r="E13" s="198" t="s">
        <v>192</v>
      </c>
    </row>
    <row r="14" spans="2:9" x14ac:dyDescent="0.25">
      <c r="B14" s="36" t="s">
        <v>39</v>
      </c>
      <c r="C14" s="37">
        <f>+C12*1.2</f>
        <v>6525461486.3999996</v>
      </c>
      <c r="D14" s="38">
        <f>+C14/828116</f>
        <v>7879.8881876452087</v>
      </c>
      <c r="E14" s="38"/>
    </row>
    <row r="15" spans="2:9" x14ac:dyDescent="0.25">
      <c r="B15" s="36" t="s">
        <v>40</v>
      </c>
      <c r="C15" s="37">
        <f>+C12*1.5</f>
        <v>8156826858</v>
      </c>
      <c r="D15" s="38">
        <f>+C15/828116</f>
        <v>9849.8602345565123</v>
      </c>
      <c r="E15" s="38"/>
    </row>
    <row r="17" spans="1:14" x14ac:dyDescent="0.25">
      <c r="B17" s="23" t="s">
        <v>31</v>
      </c>
      <c r="C17" s="23"/>
      <c r="D17" s="23"/>
    </row>
    <row r="18" spans="1:14" ht="30" x14ac:dyDescent="0.25">
      <c r="B18" s="32" t="s">
        <v>32</v>
      </c>
      <c r="C18" s="21" t="s">
        <v>33</v>
      </c>
      <c r="D18" s="32" t="s">
        <v>34</v>
      </c>
      <c r="E18" s="21" t="s">
        <v>54</v>
      </c>
      <c r="F18" s="21" t="s">
        <v>41</v>
      </c>
      <c r="G18" s="21" t="s">
        <v>42</v>
      </c>
      <c r="H18" s="21" t="s">
        <v>43</v>
      </c>
      <c r="I18" s="32" t="s">
        <v>17</v>
      </c>
    </row>
    <row r="19" spans="1:14" ht="115.5" customHeight="1" x14ac:dyDescent="0.25">
      <c r="A19" s="32">
        <v>1</v>
      </c>
      <c r="B19" s="182" t="s">
        <v>398</v>
      </c>
      <c r="C19" s="182" t="s">
        <v>397</v>
      </c>
      <c r="D19" s="183">
        <v>59</v>
      </c>
      <c r="E19" s="189" t="s">
        <v>0</v>
      </c>
      <c r="F19" s="185">
        <f>18418.69*0.72</f>
        <v>13261.456799999998</v>
      </c>
      <c r="G19" s="186">
        <f>+F19*828116</f>
        <v>10982024559.388798</v>
      </c>
      <c r="H19" s="187" t="s">
        <v>399</v>
      </c>
      <c r="I19" s="182"/>
    </row>
    <row r="20" spans="1:14" ht="82.5" customHeight="1" x14ac:dyDescent="0.25">
      <c r="A20" s="32">
        <v>2</v>
      </c>
      <c r="B20" s="194" t="s">
        <v>400</v>
      </c>
      <c r="C20" s="182" t="s">
        <v>397</v>
      </c>
      <c r="D20" s="189">
        <v>60</v>
      </c>
      <c r="E20" s="189" t="s">
        <v>0</v>
      </c>
      <c r="F20" s="192">
        <f>8115.95/2</f>
        <v>4057.9749999999999</v>
      </c>
      <c r="G20" s="195">
        <f>+F20*828116</f>
        <v>3360474025.0999999</v>
      </c>
      <c r="H20" s="196" t="s">
        <v>401</v>
      </c>
      <c r="I20" s="182"/>
    </row>
    <row r="21" spans="1:14" ht="65.099999999999994" customHeight="1" x14ac:dyDescent="0.25">
      <c r="A21" s="32"/>
      <c r="B21" s="2"/>
      <c r="C21" s="2"/>
      <c r="D21" s="2"/>
      <c r="E21" s="2"/>
      <c r="F21" s="130"/>
      <c r="G21" s="131"/>
      <c r="H21" s="24"/>
      <c r="I21" s="132"/>
    </row>
    <row r="22" spans="1:14" x14ac:dyDescent="0.25">
      <c r="B22" s="2"/>
      <c r="D22" s="2"/>
      <c r="E22" s="32" t="s">
        <v>35</v>
      </c>
      <c r="F22" s="25">
        <f>SUM(F19:F21)</f>
        <v>17319.431799999998</v>
      </c>
      <c r="G22" s="40">
        <f>SUM(G19:G21)</f>
        <v>14342498584.488798</v>
      </c>
      <c r="H22" s="26"/>
    </row>
    <row r="23" spans="1:14" x14ac:dyDescent="0.25">
      <c r="B23" s="34"/>
      <c r="D23" s="34"/>
      <c r="E23" s="42" t="s">
        <v>18</v>
      </c>
      <c r="F23" s="43"/>
      <c r="G23" s="44">
        <f>+G22/828116</f>
        <v>17319.431799999998</v>
      </c>
      <c r="H23" s="41"/>
    </row>
    <row r="25" spans="1:14" ht="43.5" customHeight="1" x14ac:dyDescent="0.25">
      <c r="B25" s="305" t="s">
        <v>44</v>
      </c>
      <c r="C25" s="305"/>
      <c r="D25" s="305"/>
      <c r="E25" s="305"/>
      <c r="F25" s="305"/>
      <c r="G25" s="305"/>
      <c r="H25" s="306"/>
      <c r="I25" s="306"/>
      <c r="J25" s="306"/>
      <c r="K25" s="306"/>
      <c r="L25" s="306"/>
      <c r="M25" s="306"/>
      <c r="N25" s="306"/>
    </row>
    <row r="26" spans="1:14" ht="31.5" customHeight="1" x14ac:dyDescent="0.25">
      <c r="B26" s="307" t="s">
        <v>45</v>
      </c>
      <c r="C26" s="307"/>
      <c r="D26" s="307"/>
      <c r="E26" s="307"/>
      <c r="F26" s="307"/>
      <c r="G26" s="307"/>
      <c r="H26" s="308"/>
      <c r="I26" s="308"/>
      <c r="J26" s="308"/>
      <c r="K26" s="308"/>
      <c r="L26" s="308"/>
      <c r="M26" s="308"/>
      <c r="N26" s="308"/>
    </row>
    <row r="27" spans="1:14" ht="31.5" customHeight="1" x14ac:dyDescent="0.25">
      <c r="B27" s="307" t="s">
        <v>46</v>
      </c>
      <c r="C27" s="307"/>
      <c r="D27" s="307"/>
      <c r="E27" s="307"/>
      <c r="F27" s="307"/>
      <c r="G27" s="307"/>
      <c r="H27" s="309"/>
      <c r="I27" s="309"/>
      <c r="J27" s="309"/>
      <c r="K27" s="309"/>
      <c r="L27" s="309"/>
      <c r="M27" s="309"/>
      <c r="N27" s="309"/>
    </row>
    <row r="28" spans="1:14" ht="34.5" customHeight="1" x14ac:dyDescent="0.25">
      <c r="B28" s="307" t="s">
        <v>47</v>
      </c>
      <c r="C28" s="310"/>
      <c r="D28" s="310"/>
      <c r="E28" s="310"/>
      <c r="F28" s="310"/>
      <c r="G28" s="310"/>
      <c r="H28" s="309"/>
      <c r="I28" s="309"/>
      <c r="J28" s="309"/>
      <c r="K28" s="309"/>
      <c r="L28" s="309"/>
      <c r="M28" s="309"/>
      <c r="N28" s="309"/>
    </row>
    <row r="29" spans="1:14" ht="34.5" customHeight="1" x14ac:dyDescent="0.25">
      <c r="B29" s="307" t="s">
        <v>48</v>
      </c>
      <c r="C29" s="310"/>
      <c r="D29" s="310"/>
      <c r="E29" s="310"/>
      <c r="F29" s="310"/>
      <c r="G29" s="310"/>
      <c r="H29" s="309"/>
      <c r="I29" s="309"/>
      <c r="J29" s="309"/>
      <c r="K29" s="309"/>
      <c r="L29" s="309"/>
      <c r="M29" s="309"/>
      <c r="N29" s="309"/>
    </row>
    <row r="30" spans="1:14" x14ac:dyDescent="0.25">
      <c r="B30" s="27"/>
      <c r="G30" s="28"/>
    </row>
    <row r="33" spans="2:10" x14ac:dyDescent="0.25">
      <c r="B33" s="311" t="s">
        <v>49</v>
      </c>
      <c r="C33" s="311"/>
      <c r="D33" s="311"/>
    </row>
    <row r="34" spans="2:10" x14ac:dyDescent="0.25">
      <c r="B34" s="20"/>
    </row>
    <row r="39" spans="2:10" x14ac:dyDescent="0.25">
      <c r="H39" s="29"/>
      <c r="I39" s="30"/>
      <c r="J39" s="31"/>
    </row>
    <row r="40" spans="2:10" x14ac:dyDescent="0.25">
      <c r="H40" s="29"/>
      <c r="I40" s="30"/>
      <c r="J40" s="31"/>
    </row>
  </sheetData>
  <mergeCells count="18">
    <mergeCell ref="B2:I2"/>
    <mergeCell ref="B3:I3"/>
    <mergeCell ref="B4:I4"/>
    <mergeCell ref="E6:F6"/>
    <mergeCell ref="E7:F8"/>
    <mergeCell ref="G7:G9"/>
    <mergeCell ref="E9:F9"/>
    <mergeCell ref="B25:G25"/>
    <mergeCell ref="H25:N25"/>
    <mergeCell ref="B26:G26"/>
    <mergeCell ref="H26:N26"/>
    <mergeCell ref="B27:G27"/>
    <mergeCell ref="H27:N27"/>
    <mergeCell ref="B28:G28"/>
    <mergeCell ref="H28:N28"/>
    <mergeCell ref="B29:G29"/>
    <mergeCell ref="H29:N29"/>
    <mergeCell ref="B33:D33"/>
  </mergeCells>
  <pageMargins left="0.7" right="0.7" top="0.75" bottom="0.75" header="0.3" footer="0.3"/>
  <pageSetup scale="32" orientation="portrait" r:id="rId1"/>
  <colBreaks count="1" manualBreakCount="1">
    <brk id="9" max="104857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40"/>
  <sheetViews>
    <sheetView view="pageBreakPreview" topLeftCell="A7" zoomScale="60" zoomScaleNormal="100" workbookViewId="0">
      <selection activeCell="E33" sqref="E33"/>
    </sheetView>
  </sheetViews>
  <sheetFormatPr baseColWidth="10" defaultRowHeight="15" x14ac:dyDescent="0.25"/>
  <cols>
    <col min="1" max="1" width="7.5703125" style="20" customWidth="1"/>
    <col min="2" max="2" width="25.5703125" style="22" customWidth="1"/>
    <col min="3" max="3" width="40.42578125" style="22" customWidth="1"/>
    <col min="4" max="4" width="18.7109375" style="20" customWidth="1"/>
    <col min="5" max="5" width="15.5703125" style="20" customWidth="1"/>
    <col min="6" max="6" width="25.140625" style="20" customWidth="1"/>
    <col min="7" max="7" width="34" style="20" bestFit="1" customWidth="1"/>
    <col min="8" max="8" width="36.28515625" style="20" customWidth="1"/>
    <col min="9" max="9" width="76.85546875" style="20" customWidth="1"/>
    <col min="10" max="10" width="11.42578125" style="20"/>
    <col min="11" max="11" width="12.28515625" style="20" bestFit="1" customWidth="1"/>
    <col min="12" max="12" width="11.42578125" style="20"/>
    <col min="13" max="13" width="10.85546875" style="20" bestFit="1" customWidth="1"/>
    <col min="14" max="14" width="6.28515625" style="20" customWidth="1"/>
    <col min="15" max="16384" width="11.42578125" style="20"/>
  </cols>
  <sheetData>
    <row r="2" spans="2:9" ht="23.25" x14ac:dyDescent="0.25">
      <c r="B2" s="293" t="s">
        <v>26</v>
      </c>
      <c r="C2" s="293"/>
      <c r="D2" s="293"/>
      <c r="E2" s="293"/>
      <c r="F2" s="293"/>
      <c r="G2" s="293"/>
      <c r="H2" s="293"/>
      <c r="I2" s="293"/>
    </row>
    <row r="3" spans="2:9" ht="23.25" x14ac:dyDescent="0.25">
      <c r="B3" s="293" t="s">
        <v>37</v>
      </c>
      <c r="C3" s="293"/>
      <c r="D3" s="293"/>
      <c r="E3" s="293"/>
      <c r="F3" s="293"/>
      <c r="G3" s="293"/>
      <c r="H3" s="293"/>
      <c r="I3" s="293"/>
    </row>
    <row r="4" spans="2:9" ht="23.25" x14ac:dyDescent="0.25">
      <c r="B4" s="293" t="s">
        <v>27</v>
      </c>
      <c r="C4" s="293"/>
      <c r="D4" s="293"/>
      <c r="E4" s="293"/>
      <c r="F4" s="293"/>
      <c r="G4" s="293"/>
      <c r="H4" s="293"/>
      <c r="I4" s="293"/>
    </row>
    <row r="5" spans="2:9" ht="15.75" thickBot="1" x14ac:dyDescent="0.3"/>
    <row r="6" spans="2:9" ht="90" customHeight="1" x14ac:dyDescent="0.25">
      <c r="B6" s="191" t="s">
        <v>180</v>
      </c>
      <c r="C6" s="174" t="s">
        <v>402</v>
      </c>
      <c r="D6" s="174" t="s">
        <v>50</v>
      </c>
      <c r="E6" s="315" t="s">
        <v>52</v>
      </c>
      <c r="F6" s="315"/>
      <c r="G6" s="45" t="s">
        <v>0</v>
      </c>
      <c r="H6" s="109"/>
      <c r="I6" s="109"/>
    </row>
    <row r="7" spans="2:9" ht="34.5" customHeight="1" x14ac:dyDescent="0.25">
      <c r="B7" s="175"/>
      <c r="C7" s="176" t="s">
        <v>403</v>
      </c>
      <c r="D7" s="176">
        <v>0.5</v>
      </c>
      <c r="E7" s="316" t="s">
        <v>53</v>
      </c>
      <c r="F7" s="316"/>
      <c r="G7" s="317" t="s">
        <v>1</v>
      </c>
      <c r="H7" s="33"/>
      <c r="I7" s="34"/>
    </row>
    <row r="8" spans="2:9" ht="58.5" customHeight="1" x14ac:dyDescent="0.25">
      <c r="B8" s="175"/>
      <c r="C8" s="177" t="s">
        <v>404</v>
      </c>
      <c r="D8" s="176">
        <v>0.5</v>
      </c>
      <c r="E8" s="316"/>
      <c r="F8" s="316"/>
      <c r="G8" s="317"/>
      <c r="H8" s="35"/>
      <c r="I8" s="34"/>
    </row>
    <row r="9" spans="2:9" ht="39.75" customHeight="1" thickBot="1" x14ac:dyDescent="0.3">
      <c r="B9" s="178"/>
      <c r="C9" s="179"/>
      <c r="D9" s="180"/>
      <c r="E9" s="319" t="s">
        <v>51</v>
      </c>
      <c r="F9" s="319"/>
      <c r="G9" s="318"/>
      <c r="H9" s="35"/>
      <c r="I9" s="34"/>
    </row>
    <row r="11" spans="2:9" x14ac:dyDescent="0.25">
      <c r="B11" s="21" t="s">
        <v>28</v>
      </c>
      <c r="C11" s="32" t="s">
        <v>29</v>
      </c>
      <c r="D11" s="32" t="s">
        <v>18</v>
      </c>
      <c r="E11" s="32" t="s">
        <v>0</v>
      </c>
    </row>
    <row r="12" spans="2:9" x14ac:dyDescent="0.25">
      <c r="B12" s="36" t="s">
        <v>30</v>
      </c>
      <c r="C12" s="37">
        <v>5437884572</v>
      </c>
      <c r="D12" s="38">
        <f>+C12/828116</f>
        <v>6566.5734897043412</v>
      </c>
      <c r="E12" s="38"/>
    </row>
    <row r="13" spans="2:9" x14ac:dyDescent="0.25">
      <c r="B13" s="36" t="s">
        <v>38</v>
      </c>
      <c r="C13" s="37">
        <f>+C12*0.75</f>
        <v>4078413429</v>
      </c>
      <c r="D13" s="38">
        <f>+C13/828116</f>
        <v>4924.9301172782561</v>
      </c>
      <c r="E13" s="198" t="s">
        <v>192</v>
      </c>
    </row>
    <row r="14" spans="2:9" x14ac:dyDescent="0.25">
      <c r="B14" s="36" t="s">
        <v>39</v>
      </c>
      <c r="C14" s="37">
        <f>+C12*1.2</f>
        <v>6525461486.3999996</v>
      </c>
      <c r="D14" s="38">
        <f>+C14/828116</f>
        <v>7879.8881876452087</v>
      </c>
      <c r="E14" s="38"/>
    </row>
    <row r="15" spans="2:9" x14ac:dyDescent="0.25">
      <c r="B15" s="36" t="s">
        <v>40</v>
      </c>
      <c r="C15" s="37">
        <f>+C12*1.5</f>
        <v>8156826858</v>
      </c>
      <c r="D15" s="38">
        <f>+C15/828116</f>
        <v>9849.8602345565123</v>
      </c>
      <c r="E15" s="38"/>
    </row>
    <row r="17" spans="1:14" x14ac:dyDescent="0.25">
      <c r="B17" s="23" t="s">
        <v>31</v>
      </c>
      <c r="C17" s="23"/>
      <c r="D17" s="23"/>
    </row>
    <row r="18" spans="1:14" ht="30" x14ac:dyDescent="0.25">
      <c r="B18" s="32" t="s">
        <v>32</v>
      </c>
      <c r="C18" s="21" t="s">
        <v>33</v>
      </c>
      <c r="D18" s="32" t="s">
        <v>34</v>
      </c>
      <c r="E18" s="21" t="s">
        <v>54</v>
      </c>
      <c r="F18" s="21" t="s">
        <v>41</v>
      </c>
      <c r="G18" s="21" t="s">
        <v>42</v>
      </c>
      <c r="H18" s="21" t="s">
        <v>43</v>
      </c>
      <c r="I18" s="32" t="s">
        <v>17</v>
      </c>
    </row>
    <row r="19" spans="1:14" ht="115.5" customHeight="1" x14ac:dyDescent="0.25">
      <c r="A19" s="32">
        <v>1</v>
      </c>
      <c r="B19" s="182" t="s">
        <v>405</v>
      </c>
      <c r="C19" s="182" t="s">
        <v>403</v>
      </c>
      <c r="D19" s="183">
        <v>21</v>
      </c>
      <c r="E19" s="189" t="s">
        <v>0</v>
      </c>
      <c r="F19" s="185">
        <f>17831.9*0.45</f>
        <v>8024.3550000000005</v>
      </c>
      <c r="G19" s="186">
        <f>+F19*828116</f>
        <v>6645096765.1800003</v>
      </c>
      <c r="H19" s="187" t="s">
        <v>406</v>
      </c>
      <c r="I19" s="182"/>
    </row>
    <row r="20" spans="1:14" ht="82.5" customHeight="1" x14ac:dyDescent="0.25">
      <c r="A20" s="32">
        <v>2</v>
      </c>
      <c r="B20" s="194" t="s">
        <v>407</v>
      </c>
      <c r="C20" s="182" t="s">
        <v>404</v>
      </c>
      <c r="D20" s="189">
        <v>30</v>
      </c>
      <c r="E20" s="189" t="s">
        <v>0</v>
      </c>
      <c r="F20" s="192">
        <v>6260.57</v>
      </c>
      <c r="G20" s="195">
        <f>+F20*828116</f>
        <v>5184478186.1199999</v>
      </c>
      <c r="H20" s="187" t="s">
        <v>408</v>
      </c>
      <c r="I20" s="197"/>
    </row>
    <row r="21" spans="1:14" ht="65.099999999999994" customHeight="1" x14ac:dyDescent="0.25">
      <c r="A21" s="32"/>
      <c r="B21" s="2"/>
      <c r="C21" s="2"/>
      <c r="D21" s="2"/>
      <c r="E21" s="2"/>
      <c r="F21" s="130"/>
      <c r="G21" s="131"/>
      <c r="H21" s="24"/>
      <c r="I21" s="132"/>
    </row>
    <row r="22" spans="1:14" x14ac:dyDescent="0.25">
      <c r="B22" s="2"/>
      <c r="D22" s="2"/>
      <c r="E22" s="32" t="s">
        <v>35</v>
      </c>
      <c r="F22" s="25">
        <f>SUM(F19:F21)</f>
        <v>14284.924999999999</v>
      </c>
      <c r="G22" s="40">
        <f>SUM(G19:G21)</f>
        <v>11829574951.299999</v>
      </c>
      <c r="H22" s="26"/>
    </row>
    <row r="23" spans="1:14" x14ac:dyDescent="0.25">
      <c r="B23" s="34"/>
      <c r="D23" s="34"/>
      <c r="E23" s="42" t="s">
        <v>18</v>
      </c>
      <c r="F23" s="43"/>
      <c r="G23" s="44">
        <f>+G22/828116</f>
        <v>14284.924999999999</v>
      </c>
      <c r="H23" s="41"/>
    </row>
    <row r="25" spans="1:14" ht="43.5" customHeight="1" x14ac:dyDescent="0.25">
      <c r="B25" s="305" t="s">
        <v>44</v>
      </c>
      <c r="C25" s="305"/>
      <c r="D25" s="305"/>
      <c r="E25" s="305"/>
      <c r="F25" s="305"/>
      <c r="G25" s="305"/>
      <c r="H25" s="306"/>
      <c r="I25" s="306"/>
      <c r="J25" s="306"/>
      <c r="K25" s="306"/>
      <c r="L25" s="306"/>
      <c r="M25" s="306"/>
      <c r="N25" s="306"/>
    </row>
    <row r="26" spans="1:14" ht="31.5" customHeight="1" x14ac:dyDescent="0.25">
      <c r="B26" s="307" t="s">
        <v>45</v>
      </c>
      <c r="C26" s="307"/>
      <c r="D26" s="307"/>
      <c r="E26" s="307"/>
      <c r="F26" s="307"/>
      <c r="G26" s="307"/>
      <c r="H26" s="308"/>
      <c r="I26" s="308"/>
      <c r="J26" s="308"/>
      <c r="K26" s="308"/>
      <c r="L26" s="308"/>
      <c r="M26" s="308"/>
      <c r="N26" s="308"/>
    </row>
    <row r="27" spans="1:14" ht="31.5" customHeight="1" x14ac:dyDescent="0.25">
      <c r="B27" s="307" t="s">
        <v>46</v>
      </c>
      <c r="C27" s="307"/>
      <c r="D27" s="307"/>
      <c r="E27" s="307"/>
      <c r="F27" s="307"/>
      <c r="G27" s="307"/>
      <c r="H27" s="309"/>
      <c r="I27" s="309"/>
      <c r="J27" s="309"/>
      <c r="K27" s="309"/>
      <c r="L27" s="309"/>
      <c r="M27" s="309"/>
      <c r="N27" s="309"/>
    </row>
    <row r="28" spans="1:14" ht="34.5" customHeight="1" x14ac:dyDescent="0.25">
      <c r="B28" s="307" t="s">
        <v>47</v>
      </c>
      <c r="C28" s="310"/>
      <c r="D28" s="310"/>
      <c r="E28" s="310"/>
      <c r="F28" s="310"/>
      <c r="G28" s="310"/>
      <c r="H28" s="309"/>
      <c r="I28" s="309"/>
      <c r="J28" s="309"/>
      <c r="K28" s="309"/>
      <c r="L28" s="309"/>
      <c r="M28" s="309"/>
      <c r="N28" s="309"/>
    </row>
    <row r="29" spans="1:14" ht="34.5" customHeight="1" x14ac:dyDescent="0.25">
      <c r="B29" s="307" t="s">
        <v>48</v>
      </c>
      <c r="C29" s="310"/>
      <c r="D29" s="310"/>
      <c r="E29" s="310"/>
      <c r="F29" s="310"/>
      <c r="G29" s="310"/>
      <c r="H29" s="309"/>
      <c r="I29" s="309"/>
      <c r="J29" s="309"/>
      <c r="K29" s="309"/>
      <c r="L29" s="309"/>
      <c r="M29" s="309"/>
      <c r="N29" s="309"/>
    </row>
    <row r="30" spans="1:14" x14ac:dyDescent="0.25">
      <c r="B30" s="27"/>
      <c r="G30" s="28"/>
    </row>
    <row r="33" spans="2:10" x14ac:dyDescent="0.25">
      <c r="B33" s="311" t="s">
        <v>49</v>
      </c>
      <c r="C33" s="311"/>
      <c r="D33" s="311"/>
    </row>
    <row r="34" spans="2:10" x14ac:dyDescent="0.25">
      <c r="B34" s="20"/>
    </row>
    <row r="39" spans="2:10" x14ac:dyDescent="0.25">
      <c r="H39" s="29"/>
      <c r="I39" s="30"/>
      <c r="J39" s="31"/>
    </row>
    <row r="40" spans="2:10" x14ac:dyDescent="0.25">
      <c r="H40" s="29"/>
      <c r="I40" s="30"/>
      <c r="J40" s="31"/>
    </row>
  </sheetData>
  <mergeCells count="18">
    <mergeCell ref="B2:I2"/>
    <mergeCell ref="B3:I3"/>
    <mergeCell ref="B4:I4"/>
    <mergeCell ref="E6:F6"/>
    <mergeCell ref="E7:F8"/>
    <mergeCell ref="G7:G9"/>
    <mergeCell ref="E9:F9"/>
    <mergeCell ref="B25:G25"/>
    <mergeCell ref="H25:N25"/>
    <mergeCell ref="B26:G26"/>
    <mergeCell ref="H26:N26"/>
    <mergeCell ref="B27:G27"/>
    <mergeCell ref="H27:N27"/>
    <mergeCell ref="B28:G28"/>
    <mergeCell ref="H28:N28"/>
    <mergeCell ref="B29:G29"/>
    <mergeCell ref="H29:N29"/>
    <mergeCell ref="B33:D33"/>
  </mergeCells>
  <pageMargins left="0.7" right="0.7" top="0.75" bottom="0.75" header="0.3" footer="0.3"/>
  <pageSetup scale="32" orientation="portrait" r:id="rId1"/>
  <colBreaks count="1" manualBreakCount="1">
    <brk id="9" max="1048575"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44"/>
  <sheetViews>
    <sheetView view="pageBreakPreview" topLeftCell="A19" zoomScale="60" zoomScaleNormal="80" workbookViewId="0">
      <selection activeCell="E37" sqref="E37"/>
    </sheetView>
  </sheetViews>
  <sheetFormatPr baseColWidth="10" defaultRowHeight="15" x14ac:dyDescent="0.25"/>
  <cols>
    <col min="1" max="1" width="7.5703125" style="20" customWidth="1"/>
    <col min="2" max="2" width="25.5703125" style="22" customWidth="1"/>
    <col min="3" max="3" width="40.42578125" style="22" customWidth="1"/>
    <col min="4" max="4" width="18.7109375" style="20" customWidth="1"/>
    <col min="5" max="5" width="15.5703125" style="20" customWidth="1"/>
    <col min="6" max="6" width="25.140625" style="20" customWidth="1"/>
    <col min="7" max="7" width="34" style="20" bestFit="1" customWidth="1"/>
    <col min="8" max="8" width="36.28515625" style="20" customWidth="1"/>
    <col min="9" max="9" width="76.85546875" style="20" customWidth="1"/>
    <col min="10" max="10" width="11.42578125" style="20"/>
    <col min="11" max="11" width="12.28515625" style="20" bestFit="1" customWidth="1"/>
    <col min="12" max="12" width="11.42578125" style="20"/>
    <col min="13" max="13" width="10.85546875" style="20" bestFit="1" customWidth="1"/>
    <col min="14" max="14" width="6.28515625" style="20" customWidth="1"/>
    <col min="15" max="16384" width="11.42578125" style="20"/>
  </cols>
  <sheetData>
    <row r="2" spans="2:9" ht="23.25" x14ac:dyDescent="0.25">
      <c r="B2" s="293" t="s">
        <v>26</v>
      </c>
      <c r="C2" s="293"/>
      <c r="D2" s="293"/>
      <c r="E2" s="293"/>
      <c r="F2" s="293"/>
      <c r="G2" s="293"/>
      <c r="H2" s="293"/>
      <c r="I2" s="293"/>
    </row>
    <row r="3" spans="2:9" ht="23.25" x14ac:dyDescent="0.25">
      <c r="B3" s="293" t="s">
        <v>37</v>
      </c>
      <c r="C3" s="293"/>
      <c r="D3" s="293"/>
      <c r="E3" s="293"/>
      <c r="F3" s="293"/>
      <c r="G3" s="293"/>
      <c r="H3" s="293"/>
      <c r="I3" s="293"/>
    </row>
    <row r="4" spans="2:9" ht="23.25" x14ac:dyDescent="0.25">
      <c r="B4" s="293" t="s">
        <v>27</v>
      </c>
      <c r="C4" s="293"/>
      <c r="D4" s="293"/>
      <c r="E4" s="293"/>
      <c r="F4" s="293"/>
      <c r="G4" s="293"/>
      <c r="H4" s="293"/>
      <c r="I4" s="293"/>
    </row>
    <row r="5" spans="2:9" ht="15.75" thickBot="1" x14ac:dyDescent="0.3"/>
    <row r="6" spans="2:9" ht="90" customHeight="1" x14ac:dyDescent="0.25">
      <c r="B6" s="191" t="s">
        <v>180</v>
      </c>
      <c r="C6" s="174" t="s">
        <v>409</v>
      </c>
      <c r="D6" s="174" t="s">
        <v>50</v>
      </c>
      <c r="E6" s="315" t="s">
        <v>52</v>
      </c>
      <c r="F6" s="315"/>
      <c r="G6" s="45" t="s">
        <v>0</v>
      </c>
      <c r="H6" s="109"/>
      <c r="I6" s="109"/>
    </row>
    <row r="7" spans="2:9" ht="34.5" customHeight="1" x14ac:dyDescent="0.25">
      <c r="B7" s="175"/>
      <c r="C7" s="177" t="s">
        <v>409</v>
      </c>
      <c r="D7" s="176">
        <v>1</v>
      </c>
      <c r="E7" s="316" t="s">
        <v>53</v>
      </c>
      <c r="F7" s="316"/>
      <c r="G7" s="317" t="s">
        <v>1</v>
      </c>
      <c r="H7" s="33"/>
      <c r="I7" s="34"/>
    </row>
    <row r="8" spans="2:9" ht="58.5" customHeight="1" x14ac:dyDescent="0.25">
      <c r="B8" s="175"/>
      <c r="C8" s="177"/>
      <c r="D8" s="176"/>
      <c r="E8" s="316"/>
      <c r="F8" s="316"/>
      <c r="G8" s="317"/>
      <c r="H8" s="35"/>
      <c r="I8" s="34"/>
    </row>
    <row r="9" spans="2:9" ht="39.75" customHeight="1" thickBot="1" x14ac:dyDescent="0.3">
      <c r="B9" s="178"/>
      <c r="C9" s="179"/>
      <c r="D9" s="180"/>
      <c r="E9" s="319" t="s">
        <v>51</v>
      </c>
      <c r="F9" s="319"/>
      <c r="G9" s="318"/>
      <c r="H9" s="35"/>
      <c r="I9" s="34"/>
    </row>
    <row r="11" spans="2:9" x14ac:dyDescent="0.25">
      <c r="B11" s="21" t="s">
        <v>28</v>
      </c>
      <c r="C11" s="32" t="s">
        <v>29</v>
      </c>
      <c r="D11" s="32" t="s">
        <v>18</v>
      </c>
      <c r="E11" s="32" t="s">
        <v>0</v>
      </c>
    </row>
    <row r="12" spans="2:9" x14ac:dyDescent="0.25">
      <c r="B12" s="36" t="s">
        <v>30</v>
      </c>
      <c r="C12" s="37">
        <v>5437884572</v>
      </c>
      <c r="D12" s="38">
        <f>+C12/828116</f>
        <v>6566.5734897043412</v>
      </c>
      <c r="E12" s="38"/>
    </row>
    <row r="13" spans="2:9" x14ac:dyDescent="0.25">
      <c r="B13" s="36" t="s">
        <v>38</v>
      </c>
      <c r="C13" s="37">
        <f>+C12*0.75</f>
        <v>4078413429</v>
      </c>
      <c r="D13" s="38">
        <f>+C13/828116</f>
        <v>4924.9301172782561</v>
      </c>
      <c r="E13" s="198"/>
    </row>
    <row r="14" spans="2:9" x14ac:dyDescent="0.25">
      <c r="B14" s="36" t="s">
        <v>39</v>
      </c>
      <c r="C14" s="37">
        <f>+C12*1.2</f>
        <v>6525461486.3999996</v>
      </c>
      <c r="D14" s="38">
        <f>+C14/828116</f>
        <v>7879.8881876452087</v>
      </c>
      <c r="E14" s="38"/>
    </row>
    <row r="15" spans="2:9" x14ac:dyDescent="0.25">
      <c r="B15" s="36" t="s">
        <v>40</v>
      </c>
      <c r="C15" s="37">
        <f>+C12*1.5</f>
        <v>8156826858</v>
      </c>
      <c r="D15" s="38">
        <f>+C15/828116</f>
        <v>9849.8602345565123</v>
      </c>
      <c r="E15" s="198" t="s">
        <v>192</v>
      </c>
    </row>
    <row r="17" spans="1:14" x14ac:dyDescent="0.25">
      <c r="B17" s="23" t="s">
        <v>31</v>
      </c>
      <c r="C17" s="23"/>
      <c r="D17" s="23"/>
    </row>
    <row r="18" spans="1:14" ht="30" x14ac:dyDescent="0.25">
      <c r="B18" s="32" t="s">
        <v>32</v>
      </c>
      <c r="C18" s="21" t="s">
        <v>33</v>
      </c>
      <c r="D18" s="32" t="s">
        <v>34</v>
      </c>
      <c r="E18" s="21" t="s">
        <v>54</v>
      </c>
      <c r="F18" s="21" t="s">
        <v>41</v>
      </c>
      <c r="G18" s="21" t="s">
        <v>42</v>
      </c>
      <c r="H18" s="21" t="s">
        <v>43</v>
      </c>
      <c r="I18" s="32" t="s">
        <v>17</v>
      </c>
    </row>
    <row r="19" spans="1:14" ht="115.5" customHeight="1" x14ac:dyDescent="0.25">
      <c r="A19" s="32">
        <v>1</v>
      </c>
      <c r="B19" s="182" t="s">
        <v>410</v>
      </c>
      <c r="C19" s="199" t="s">
        <v>409</v>
      </c>
      <c r="D19" s="183">
        <v>54</v>
      </c>
      <c r="E19" s="189" t="s">
        <v>0</v>
      </c>
      <c r="F19" s="185">
        <f>18194.18*0.9</f>
        <v>16374.762000000001</v>
      </c>
      <c r="G19" s="186">
        <f>+F19*828116</f>
        <v>13560202408.392</v>
      </c>
      <c r="H19" s="187" t="s">
        <v>406</v>
      </c>
      <c r="I19" s="197" t="s">
        <v>411</v>
      </c>
    </row>
    <row r="20" spans="1:14" ht="82.5" customHeight="1" x14ac:dyDescent="0.25">
      <c r="A20" s="32">
        <v>2</v>
      </c>
      <c r="B20" s="194" t="s">
        <v>412</v>
      </c>
      <c r="C20" s="199" t="s">
        <v>409</v>
      </c>
      <c r="D20" s="189">
        <v>18</v>
      </c>
      <c r="E20" s="189" t="s">
        <v>0</v>
      </c>
      <c r="F20" s="192">
        <f>11692.5*0.968</f>
        <v>11318.34</v>
      </c>
      <c r="G20" s="195">
        <f>+F20*828116</f>
        <v>9372898447.4400005</v>
      </c>
      <c r="H20" s="196" t="s">
        <v>413</v>
      </c>
      <c r="I20" s="197" t="s">
        <v>414</v>
      </c>
    </row>
    <row r="21" spans="1:14" ht="82.5" customHeight="1" x14ac:dyDescent="0.25">
      <c r="A21" s="32">
        <v>3</v>
      </c>
      <c r="B21" s="194" t="s">
        <v>415</v>
      </c>
      <c r="C21" s="199" t="s">
        <v>409</v>
      </c>
      <c r="D21" s="189">
        <v>63</v>
      </c>
      <c r="E21" s="189" t="s">
        <v>0</v>
      </c>
      <c r="F21" s="192">
        <v>10794.59</v>
      </c>
      <c r="G21" s="195">
        <f>+F21*828116</f>
        <v>8939172692.4400005</v>
      </c>
      <c r="H21" s="196" t="s">
        <v>416</v>
      </c>
      <c r="I21" s="197"/>
    </row>
    <row r="22" spans="1:14" ht="82.5" customHeight="1" x14ac:dyDescent="0.25">
      <c r="A22" s="32">
        <v>4</v>
      </c>
      <c r="B22" s="194" t="s">
        <v>417</v>
      </c>
      <c r="C22" s="199" t="s">
        <v>409</v>
      </c>
      <c r="D22" s="189">
        <v>71</v>
      </c>
      <c r="E22" s="189" t="s">
        <v>0</v>
      </c>
      <c r="F22" s="192">
        <v>7964.74</v>
      </c>
      <c r="G22" s="195">
        <f t="shared" ref="G22:G24" si="0">+F22*828116</f>
        <v>6595728629.8400002</v>
      </c>
      <c r="H22" s="187" t="s">
        <v>418</v>
      </c>
      <c r="I22" s="197"/>
    </row>
    <row r="23" spans="1:14" ht="82.5" customHeight="1" x14ac:dyDescent="0.25">
      <c r="A23" s="32">
        <v>5</v>
      </c>
      <c r="B23" s="194" t="s">
        <v>419</v>
      </c>
      <c r="C23" s="199" t="s">
        <v>409</v>
      </c>
      <c r="D23" s="189">
        <v>22</v>
      </c>
      <c r="E23" s="189" t="s">
        <v>0</v>
      </c>
      <c r="F23" s="192">
        <v>25959.56</v>
      </c>
      <c r="G23" s="195">
        <f t="shared" si="0"/>
        <v>21497526988.960003</v>
      </c>
      <c r="H23" s="187" t="s">
        <v>420</v>
      </c>
      <c r="I23" s="197"/>
    </row>
    <row r="24" spans="1:14" ht="82.5" customHeight="1" x14ac:dyDescent="0.25">
      <c r="A24" s="32">
        <v>6</v>
      </c>
      <c r="B24" s="194" t="s">
        <v>421</v>
      </c>
      <c r="C24" s="199" t="s">
        <v>409</v>
      </c>
      <c r="D24" s="189">
        <v>47</v>
      </c>
      <c r="E24" s="189" t="s">
        <v>0</v>
      </c>
      <c r="F24" s="192">
        <v>21890.79</v>
      </c>
      <c r="G24" s="195">
        <f t="shared" si="0"/>
        <v>18128113451.639999</v>
      </c>
      <c r="H24" s="187" t="s">
        <v>422</v>
      </c>
      <c r="I24" s="197"/>
    </row>
    <row r="25" spans="1:14" ht="65.099999999999994" customHeight="1" x14ac:dyDescent="0.25">
      <c r="A25" s="32"/>
      <c r="B25" s="2"/>
      <c r="C25" s="2"/>
      <c r="D25" s="2"/>
      <c r="E25" s="2"/>
      <c r="F25" s="130"/>
      <c r="G25" s="131"/>
      <c r="H25" s="24"/>
      <c r="I25" s="132"/>
    </row>
    <row r="26" spans="1:14" x14ac:dyDescent="0.25">
      <c r="B26" s="2"/>
      <c r="D26" s="2"/>
      <c r="E26" s="32" t="s">
        <v>35</v>
      </c>
      <c r="F26" s="25">
        <f>SUM(F19:F25)</f>
        <v>94302.782000000007</v>
      </c>
      <c r="G26" s="40">
        <f>SUM(G19:G25)</f>
        <v>78093642618.712006</v>
      </c>
      <c r="H26" s="26"/>
    </row>
    <row r="27" spans="1:14" x14ac:dyDescent="0.25">
      <c r="B27" s="34"/>
      <c r="D27" s="34"/>
      <c r="E27" s="42" t="s">
        <v>18</v>
      </c>
      <c r="F27" s="43"/>
      <c r="G27" s="44">
        <f>+G26/828116</f>
        <v>94302.782000000007</v>
      </c>
      <c r="H27" s="41"/>
    </row>
    <row r="29" spans="1:14" ht="43.5" customHeight="1" x14ac:dyDescent="0.25">
      <c r="B29" s="305" t="s">
        <v>44</v>
      </c>
      <c r="C29" s="305"/>
      <c r="D29" s="305"/>
      <c r="E29" s="305"/>
      <c r="F29" s="305"/>
      <c r="G29" s="305"/>
      <c r="H29" s="306"/>
      <c r="I29" s="306"/>
      <c r="J29" s="306"/>
      <c r="K29" s="306"/>
      <c r="L29" s="306"/>
      <c r="M29" s="306"/>
      <c r="N29" s="306"/>
    </row>
    <row r="30" spans="1:14" ht="31.5" customHeight="1" x14ac:dyDescent="0.25">
      <c r="B30" s="307" t="s">
        <v>45</v>
      </c>
      <c r="C30" s="307"/>
      <c r="D30" s="307"/>
      <c r="E30" s="307"/>
      <c r="F30" s="307"/>
      <c r="G30" s="307"/>
      <c r="H30" s="308"/>
      <c r="I30" s="308"/>
      <c r="J30" s="308"/>
      <c r="K30" s="308"/>
      <c r="L30" s="308"/>
      <c r="M30" s="308"/>
      <c r="N30" s="308"/>
    </row>
    <row r="31" spans="1:14" ht="31.5" customHeight="1" x14ac:dyDescent="0.25">
      <c r="B31" s="307" t="s">
        <v>46</v>
      </c>
      <c r="C31" s="307"/>
      <c r="D31" s="307"/>
      <c r="E31" s="307"/>
      <c r="F31" s="307"/>
      <c r="G31" s="307"/>
      <c r="H31" s="309"/>
      <c r="I31" s="309"/>
      <c r="J31" s="309"/>
      <c r="K31" s="309"/>
      <c r="L31" s="309"/>
      <c r="M31" s="309"/>
      <c r="N31" s="309"/>
    </row>
    <row r="32" spans="1:14" ht="34.5" customHeight="1" x14ac:dyDescent="0.25">
      <c r="B32" s="307" t="s">
        <v>47</v>
      </c>
      <c r="C32" s="310"/>
      <c r="D32" s="310"/>
      <c r="E32" s="310"/>
      <c r="F32" s="310"/>
      <c r="G32" s="310"/>
      <c r="H32" s="309"/>
      <c r="I32" s="309"/>
      <c r="J32" s="309"/>
      <c r="K32" s="309"/>
      <c r="L32" s="309"/>
      <c r="M32" s="309"/>
      <c r="N32" s="309"/>
    </row>
    <row r="33" spans="2:14" ht="34.5" customHeight="1" x14ac:dyDescent="0.25">
      <c r="B33" s="307" t="s">
        <v>48</v>
      </c>
      <c r="C33" s="310"/>
      <c r="D33" s="310"/>
      <c r="E33" s="310"/>
      <c r="F33" s="310"/>
      <c r="G33" s="310"/>
      <c r="H33" s="309"/>
      <c r="I33" s="309"/>
      <c r="J33" s="309"/>
      <c r="K33" s="309"/>
      <c r="L33" s="309"/>
      <c r="M33" s="309"/>
      <c r="N33" s="309"/>
    </row>
    <row r="34" spans="2:14" x14ac:dyDescent="0.25">
      <c r="B34" s="27"/>
      <c r="G34" s="28"/>
    </row>
    <row r="37" spans="2:14" x14ac:dyDescent="0.25">
      <c r="B37" s="311" t="s">
        <v>49</v>
      </c>
      <c r="C37" s="311"/>
      <c r="D37" s="311"/>
    </row>
    <row r="38" spans="2:14" x14ac:dyDescent="0.25">
      <c r="B38" s="20"/>
    </row>
    <row r="43" spans="2:14" x14ac:dyDescent="0.25">
      <c r="H43" s="29"/>
      <c r="I43" s="30"/>
      <c r="J43" s="31"/>
    </row>
    <row r="44" spans="2:14" x14ac:dyDescent="0.25">
      <c r="H44" s="29"/>
      <c r="I44" s="30"/>
      <c r="J44" s="31"/>
    </row>
  </sheetData>
  <mergeCells count="18">
    <mergeCell ref="B2:I2"/>
    <mergeCell ref="B3:I3"/>
    <mergeCell ref="B4:I4"/>
    <mergeCell ref="E6:F6"/>
    <mergeCell ref="E7:F8"/>
    <mergeCell ref="G7:G9"/>
    <mergeCell ref="E9:F9"/>
    <mergeCell ref="B29:G29"/>
    <mergeCell ref="H29:N29"/>
    <mergeCell ref="B30:G30"/>
    <mergeCell ref="H30:N30"/>
    <mergeCell ref="B31:G31"/>
    <mergeCell ref="H31:N31"/>
    <mergeCell ref="B32:G32"/>
    <mergeCell ref="H32:N32"/>
    <mergeCell ref="B33:G33"/>
    <mergeCell ref="H33:N33"/>
    <mergeCell ref="B37:D37"/>
  </mergeCells>
  <pageMargins left="0.7" right="0.7" top="0.75" bottom="0.75" header="0.3" footer="0.3"/>
  <pageSetup scale="32" orientation="portrait" r:id="rId1"/>
  <colBreaks count="1" manualBreakCount="1">
    <brk id="9" max="1048575"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N41"/>
  <sheetViews>
    <sheetView view="pageBreakPreview" topLeftCell="A11" zoomScale="60" zoomScaleNormal="100" workbookViewId="0">
      <selection activeCell="E34" sqref="E34:E35"/>
    </sheetView>
  </sheetViews>
  <sheetFormatPr baseColWidth="10" defaultRowHeight="15" x14ac:dyDescent="0.25"/>
  <cols>
    <col min="1" max="1" width="7.5703125" style="20" customWidth="1"/>
    <col min="2" max="2" width="25.5703125" style="22" customWidth="1"/>
    <col min="3" max="3" width="40.42578125" style="22" customWidth="1"/>
    <col min="4" max="4" width="18.7109375" style="20" customWidth="1"/>
    <col min="5" max="5" width="15.5703125" style="20" customWidth="1"/>
    <col min="6" max="6" width="25.140625" style="20" customWidth="1"/>
    <col min="7" max="7" width="34" style="20" bestFit="1" customWidth="1"/>
    <col min="8" max="8" width="36.28515625" style="20" customWidth="1"/>
    <col min="9" max="9" width="38" style="20" customWidth="1"/>
    <col min="10" max="10" width="11.42578125" style="20"/>
    <col min="11" max="11" width="12.28515625" style="20" bestFit="1" customWidth="1"/>
    <col min="12" max="12" width="11.42578125" style="20"/>
    <col min="13" max="13" width="10.85546875" style="20" bestFit="1" customWidth="1"/>
    <col min="14" max="14" width="6.28515625" style="20" customWidth="1"/>
    <col min="15" max="16384" width="11.42578125" style="20"/>
  </cols>
  <sheetData>
    <row r="2" spans="1:9" ht="23.25" x14ac:dyDescent="0.25">
      <c r="A2" s="20" t="s">
        <v>423</v>
      </c>
      <c r="B2" s="293" t="s">
        <v>26</v>
      </c>
      <c r="C2" s="293"/>
      <c r="D2" s="293"/>
      <c r="E2" s="293"/>
      <c r="F2" s="293"/>
      <c r="G2" s="293"/>
      <c r="H2" s="293"/>
      <c r="I2" s="293"/>
    </row>
    <row r="3" spans="1:9" ht="23.25" x14ac:dyDescent="0.25">
      <c r="B3" s="293" t="s">
        <v>37</v>
      </c>
      <c r="C3" s="293"/>
      <c r="D3" s="293"/>
      <c r="E3" s="293"/>
      <c r="F3" s="293"/>
      <c r="G3" s="293"/>
      <c r="H3" s="293"/>
      <c r="I3" s="293"/>
    </row>
    <row r="4" spans="1:9" ht="23.25" x14ac:dyDescent="0.25">
      <c r="B4" s="293" t="s">
        <v>27</v>
      </c>
      <c r="C4" s="293"/>
      <c r="D4" s="293"/>
      <c r="E4" s="293"/>
      <c r="F4" s="293"/>
      <c r="G4" s="293"/>
      <c r="H4" s="293"/>
      <c r="I4" s="293"/>
    </row>
    <row r="5" spans="1:9" ht="15.75" thickBot="1" x14ac:dyDescent="0.3"/>
    <row r="6" spans="1:9" ht="90" customHeight="1" x14ac:dyDescent="0.25">
      <c r="B6" s="191" t="s">
        <v>180</v>
      </c>
      <c r="C6" s="174" t="s">
        <v>424</v>
      </c>
      <c r="D6" s="174" t="s">
        <v>50</v>
      </c>
      <c r="E6" s="315" t="s">
        <v>52</v>
      </c>
      <c r="F6" s="315"/>
      <c r="G6" s="45" t="s">
        <v>0</v>
      </c>
      <c r="H6" s="109"/>
      <c r="I6" s="109"/>
    </row>
    <row r="7" spans="1:9" ht="34.5" customHeight="1" x14ac:dyDescent="0.25">
      <c r="B7" s="175"/>
      <c r="C7" s="177" t="s">
        <v>424</v>
      </c>
      <c r="D7" s="176">
        <v>1</v>
      </c>
      <c r="E7" s="320" t="s">
        <v>53</v>
      </c>
      <c r="F7" s="320"/>
      <c r="G7" s="317" t="s">
        <v>139</v>
      </c>
      <c r="H7" s="33"/>
      <c r="I7" s="34"/>
    </row>
    <row r="8" spans="1:9" ht="15" customHeight="1" x14ac:dyDescent="0.25">
      <c r="B8" s="175"/>
      <c r="C8" s="177"/>
      <c r="D8" s="176"/>
      <c r="E8" s="320"/>
      <c r="F8" s="320"/>
      <c r="G8" s="317"/>
      <c r="H8" s="35"/>
      <c r="I8" s="34"/>
    </row>
    <row r="9" spans="1:9" ht="39.75" customHeight="1" thickBot="1" x14ac:dyDescent="0.3">
      <c r="B9" s="178"/>
      <c r="C9" s="179"/>
      <c r="D9" s="180"/>
      <c r="E9" s="319" t="s">
        <v>51</v>
      </c>
      <c r="F9" s="319"/>
      <c r="G9" s="318"/>
      <c r="H9" s="35"/>
      <c r="I9" s="34"/>
    </row>
    <row r="11" spans="1:9" x14ac:dyDescent="0.25">
      <c r="B11" s="21" t="s">
        <v>28</v>
      </c>
      <c r="C11" s="32" t="s">
        <v>29</v>
      </c>
      <c r="D11" s="32" t="s">
        <v>18</v>
      </c>
      <c r="E11" s="32" t="s">
        <v>0</v>
      </c>
    </row>
    <row r="12" spans="1:9" x14ac:dyDescent="0.25">
      <c r="B12" s="36" t="s">
        <v>30</v>
      </c>
      <c r="C12" s="37">
        <v>5437884572</v>
      </c>
      <c r="D12" s="38">
        <f>+C12/828116</f>
        <v>6566.5734897043412</v>
      </c>
      <c r="E12" s="38"/>
    </row>
    <row r="13" spans="1:9" x14ac:dyDescent="0.25">
      <c r="B13" s="36" t="s">
        <v>38</v>
      </c>
      <c r="C13" s="37">
        <f>+C12*0.75</f>
        <v>4078413429</v>
      </c>
      <c r="D13" s="38">
        <f>+C13/828116</f>
        <v>4924.9301172782561</v>
      </c>
      <c r="E13" s="198"/>
    </row>
    <row r="14" spans="1:9" x14ac:dyDescent="0.25">
      <c r="B14" s="36" t="s">
        <v>39</v>
      </c>
      <c r="C14" s="37">
        <f>+C12*1.2</f>
        <v>6525461486.3999996</v>
      </c>
      <c r="D14" s="38">
        <f>+C14/828116</f>
        <v>7879.8881876452087</v>
      </c>
      <c r="E14" s="102" t="s">
        <v>0</v>
      </c>
    </row>
    <row r="15" spans="1:9" x14ac:dyDescent="0.25">
      <c r="B15" s="36" t="s">
        <v>40</v>
      </c>
      <c r="C15" s="37">
        <f>+C12*1.5</f>
        <v>8156826858</v>
      </c>
      <c r="D15" s="38">
        <f>+C15/828116</f>
        <v>9849.8602345565123</v>
      </c>
      <c r="E15" s="198"/>
    </row>
    <row r="17" spans="1:14" x14ac:dyDescent="0.25">
      <c r="B17" s="23" t="s">
        <v>31</v>
      </c>
      <c r="C17" s="23"/>
      <c r="D17" s="23"/>
    </row>
    <row r="18" spans="1:14" ht="30" x14ac:dyDescent="0.25">
      <c r="B18" s="32" t="s">
        <v>32</v>
      </c>
      <c r="C18" s="21" t="s">
        <v>33</v>
      </c>
      <c r="D18" s="32" t="s">
        <v>34</v>
      </c>
      <c r="E18" s="21" t="s">
        <v>54</v>
      </c>
      <c r="F18" s="21" t="s">
        <v>41</v>
      </c>
      <c r="G18" s="21" t="s">
        <v>42</v>
      </c>
      <c r="H18" s="21" t="s">
        <v>43</v>
      </c>
      <c r="I18" s="32" t="s">
        <v>17</v>
      </c>
    </row>
    <row r="19" spans="1:14" ht="115.5" customHeight="1" x14ac:dyDescent="0.25">
      <c r="A19" s="32">
        <v>1</v>
      </c>
      <c r="B19" s="182" t="s">
        <v>425</v>
      </c>
      <c r="C19" s="199" t="s">
        <v>424</v>
      </c>
      <c r="D19" s="183">
        <v>79</v>
      </c>
      <c r="E19" s="189" t="s">
        <v>0</v>
      </c>
      <c r="F19" s="185">
        <v>12475.53</v>
      </c>
      <c r="G19" s="186">
        <f>+F19*828116</f>
        <v>10331186001.480001</v>
      </c>
      <c r="H19" s="187" t="s">
        <v>426</v>
      </c>
      <c r="I19" s="197"/>
    </row>
    <row r="20" spans="1:14" ht="82.5" customHeight="1" x14ac:dyDescent="0.25">
      <c r="A20" s="32">
        <v>2</v>
      </c>
      <c r="B20" s="194" t="s">
        <v>427</v>
      </c>
      <c r="C20" s="199" t="s">
        <v>424</v>
      </c>
      <c r="D20" s="189">
        <v>88</v>
      </c>
      <c r="E20" s="189" t="s">
        <v>0</v>
      </c>
      <c r="F20" s="192">
        <f>16045.86*0.42</f>
        <v>6739.2611999999999</v>
      </c>
      <c r="G20" s="195">
        <f>+F20*828116</f>
        <v>5580890027.8991995</v>
      </c>
      <c r="H20" s="196" t="s">
        <v>428</v>
      </c>
      <c r="I20" s="197"/>
    </row>
    <row r="21" spans="1:14" ht="82.5" customHeight="1" x14ac:dyDescent="0.25">
      <c r="A21" s="32">
        <v>3</v>
      </c>
      <c r="B21" s="194" t="s">
        <v>429</v>
      </c>
      <c r="C21" s="199" t="s">
        <v>424</v>
      </c>
      <c r="D21" s="189">
        <v>97</v>
      </c>
      <c r="E21" s="189" t="s">
        <v>0</v>
      </c>
      <c r="F21" s="192">
        <f>24399.6*0.3</f>
        <v>7319.8799999999992</v>
      </c>
      <c r="G21" s="195">
        <f>+F21*828116</f>
        <v>6061709746.079999</v>
      </c>
      <c r="H21" s="196" t="s">
        <v>430</v>
      </c>
      <c r="I21" s="197"/>
    </row>
    <row r="22" spans="1:14" ht="82.5" customHeight="1" x14ac:dyDescent="0.25">
      <c r="A22" s="32">
        <v>4</v>
      </c>
      <c r="B22" s="194" t="s">
        <v>431</v>
      </c>
      <c r="C22" s="199" t="s">
        <v>424</v>
      </c>
      <c r="D22" s="189">
        <v>113</v>
      </c>
      <c r="E22" s="189" t="s">
        <v>0</v>
      </c>
      <c r="F22" s="192">
        <f>13667.53*0.75</f>
        <v>10250.647500000001</v>
      </c>
      <c r="G22" s="195">
        <f t="shared" ref="G22" si="0">+F22*828116</f>
        <v>8488725205.1100006</v>
      </c>
      <c r="H22" s="187" t="s">
        <v>432</v>
      </c>
      <c r="I22" s="197"/>
    </row>
    <row r="23" spans="1:14" ht="82.5" customHeight="1" x14ac:dyDescent="0.25">
      <c r="A23" s="32"/>
      <c r="B23" s="194"/>
      <c r="C23" s="199"/>
      <c r="D23" s="189"/>
      <c r="E23" s="189"/>
      <c r="F23" s="192"/>
      <c r="G23" s="195"/>
      <c r="H23" s="187"/>
      <c r="I23" s="197"/>
    </row>
    <row r="24" spans="1:14" x14ac:dyDescent="0.25">
      <c r="B24" s="2"/>
      <c r="D24" s="2"/>
      <c r="E24" s="32" t="s">
        <v>35</v>
      </c>
      <c r="F24" s="25">
        <f>SUM(F19:F23)</f>
        <v>36785.318699999996</v>
      </c>
      <c r="G24" s="40">
        <f>SUM(G19:G23)</f>
        <v>30462510980.569199</v>
      </c>
      <c r="H24" s="26"/>
    </row>
    <row r="25" spans="1:14" x14ac:dyDescent="0.25">
      <c r="B25" s="34"/>
      <c r="D25" s="34"/>
      <c r="E25" s="42" t="s">
        <v>18</v>
      </c>
      <c r="F25" s="43"/>
      <c r="G25" s="44">
        <f>+G24/828116</f>
        <v>36785.318699999996</v>
      </c>
      <c r="H25" s="41"/>
    </row>
    <row r="27" spans="1:14" ht="43.5" customHeight="1" x14ac:dyDescent="0.25">
      <c r="B27" s="305" t="s">
        <v>44</v>
      </c>
      <c r="C27" s="305"/>
      <c r="D27" s="305"/>
      <c r="E27" s="305"/>
      <c r="F27" s="305"/>
      <c r="G27" s="305"/>
      <c r="H27" s="306"/>
      <c r="I27" s="306"/>
      <c r="J27" s="306"/>
      <c r="K27" s="306"/>
      <c r="L27" s="306"/>
      <c r="M27" s="306"/>
      <c r="N27" s="306"/>
    </row>
    <row r="28" spans="1:14" ht="31.5" customHeight="1" x14ac:dyDescent="0.25">
      <c r="B28" s="307" t="s">
        <v>45</v>
      </c>
      <c r="C28" s="307"/>
      <c r="D28" s="307"/>
      <c r="E28" s="307"/>
      <c r="F28" s="307"/>
      <c r="G28" s="307"/>
      <c r="H28" s="308"/>
      <c r="I28" s="308"/>
      <c r="J28" s="308"/>
      <c r="K28" s="308"/>
      <c r="L28" s="308"/>
      <c r="M28" s="308"/>
      <c r="N28" s="308"/>
    </row>
    <row r="29" spans="1:14" ht="31.5" customHeight="1" x14ac:dyDescent="0.25">
      <c r="A29" s="20" t="s">
        <v>396</v>
      </c>
      <c r="B29" s="307" t="s">
        <v>46</v>
      </c>
      <c r="C29" s="307"/>
      <c r="D29" s="307"/>
      <c r="E29" s="307"/>
      <c r="F29" s="307"/>
      <c r="G29" s="307"/>
      <c r="H29" s="309"/>
      <c r="I29" s="309"/>
      <c r="J29" s="309"/>
      <c r="K29" s="309"/>
      <c r="L29" s="309"/>
      <c r="M29" s="309"/>
      <c r="N29" s="309"/>
    </row>
    <row r="30" spans="1:14" ht="34.5" customHeight="1" x14ac:dyDescent="0.25">
      <c r="B30" s="307" t="s">
        <v>47</v>
      </c>
      <c r="C30" s="310"/>
      <c r="D30" s="310"/>
      <c r="E30" s="310"/>
      <c r="F30" s="310"/>
      <c r="G30" s="310"/>
      <c r="H30" s="309"/>
      <c r="I30" s="309"/>
      <c r="J30" s="309"/>
      <c r="K30" s="309"/>
      <c r="L30" s="309"/>
      <c r="M30" s="309"/>
      <c r="N30" s="309"/>
    </row>
    <row r="31" spans="1:14" ht="34.5" customHeight="1" x14ac:dyDescent="0.25">
      <c r="B31" s="307" t="s">
        <v>48</v>
      </c>
      <c r="C31" s="310"/>
      <c r="D31" s="310"/>
      <c r="E31" s="310"/>
      <c r="F31" s="310"/>
      <c r="G31" s="310"/>
      <c r="H31" s="309"/>
      <c r="I31" s="309"/>
      <c r="J31" s="309"/>
      <c r="K31" s="309"/>
      <c r="L31" s="309"/>
      <c r="M31" s="309"/>
      <c r="N31" s="309"/>
    </row>
    <row r="32" spans="1:14" x14ac:dyDescent="0.25">
      <c r="B32" s="27"/>
      <c r="G32" s="28"/>
    </row>
    <row r="34" spans="2:10" x14ac:dyDescent="0.25">
      <c r="B34" s="311" t="s">
        <v>49</v>
      </c>
      <c r="C34" s="311"/>
      <c r="D34" s="311"/>
    </row>
    <row r="35" spans="2:10" x14ac:dyDescent="0.25">
      <c r="B35" s="20"/>
    </row>
    <row r="40" spans="2:10" x14ac:dyDescent="0.25">
      <c r="H40" s="29"/>
      <c r="I40" s="30"/>
      <c r="J40" s="31"/>
    </row>
    <row r="41" spans="2:10" x14ac:dyDescent="0.25">
      <c r="H41" s="29"/>
      <c r="I41" s="30"/>
      <c r="J41" s="31"/>
    </row>
  </sheetData>
  <mergeCells count="18">
    <mergeCell ref="B2:I2"/>
    <mergeCell ref="B3:I3"/>
    <mergeCell ref="B4:I4"/>
    <mergeCell ref="E6:F6"/>
    <mergeCell ref="E7:F8"/>
    <mergeCell ref="G7:G9"/>
    <mergeCell ref="E9:F9"/>
    <mergeCell ref="B27:G27"/>
    <mergeCell ref="H27:N27"/>
    <mergeCell ref="B28:G28"/>
    <mergeCell ref="H28:N28"/>
    <mergeCell ref="B29:G29"/>
    <mergeCell ref="H29:N29"/>
    <mergeCell ref="B30:G30"/>
    <mergeCell ref="H30:N30"/>
    <mergeCell ref="B31:G31"/>
    <mergeCell ref="H31:N31"/>
    <mergeCell ref="B34:D34"/>
  </mergeCells>
  <pageMargins left="0.7" right="0.7" top="0.75" bottom="0.75" header="0.3" footer="0.3"/>
  <pageSetup scale="50" fitToHeight="0" orientation="landscape" r:id="rId1"/>
  <rowBreaks count="2" manualBreakCount="2">
    <brk id="34" max="8" man="1"/>
    <brk id="35" max="8" man="1"/>
  </rowBreaks>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N43"/>
  <sheetViews>
    <sheetView view="pageBreakPreview" zoomScale="60" zoomScaleNormal="100" workbookViewId="0">
      <selection activeCell="S41" sqref="S41"/>
    </sheetView>
  </sheetViews>
  <sheetFormatPr baseColWidth="10" defaultRowHeight="15" x14ac:dyDescent="0.25"/>
  <cols>
    <col min="1" max="1" width="7.5703125" style="20" customWidth="1"/>
    <col min="2" max="2" width="25.5703125" style="22" customWidth="1"/>
    <col min="3" max="3" width="30" style="22" customWidth="1"/>
    <col min="4" max="4" width="18.7109375" style="20" customWidth="1"/>
    <col min="5" max="5" width="15.5703125" style="20" customWidth="1"/>
    <col min="6" max="6" width="25.140625" style="20" customWidth="1"/>
    <col min="7" max="7" width="34" style="20" bestFit="1" customWidth="1"/>
    <col min="8" max="8" width="17.5703125" style="20" customWidth="1"/>
    <col min="9" max="9" width="50.28515625" style="20" customWidth="1"/>
    <col min="10" max="10" width="11.42578125" style="20"/>
    <col min="11" max="11" width="12.28515625" style="20" bestFit="1" customWidth="1"/>
    <col min="12" max="12" width="11.42578125" style="20"/>
    <col min="13" max="13" width="10.85546875" style="20" bestFit="1" customWidth="1"/>
    <col min="14" max="14" width="6.28515625" style="20" customWidth="1"/>
    <col min="15" max="16384" width="11.42578125" style="20"/>
  </cols>
  <sheetData>
    <row r="2" spans="2:10" ht="23.25" x14ac:dyDescent="0.25">
      <c r="B2" s="293" t="s">
        <v>26</v>
      </c>
      <c r="C2" s="293"/>
      <c r="D2" s="293"/>
      <c r="E2" s="293"/>
      <c r="F2" s="293"/>
      <c r="G2" s="293"/>
      <c r="H2" s="293"/>
      <c r="I2" s="293"/>
    </row>
    <row r="3" spans="2:10" ht="23.25" x14ac:dyDescent="0.25">
      <c r="B3" s="293" t="s">
        <v>37</v>
      </c>
      <c r="C3" s="293"/>
      <c r="D3" s="293"/>
      <c r="E3" s="293"/>
      <c r="F3" s="293"/>
      <c r="G3" s="293"/>
      <c r="H3" s="293"/>
      <c r="I3" s="293"/>
    </row>
    <row r="4" spans="2:10" ht="23.25" x14ac:dyDescent="0.25">
      <c r="B4" s="293" t="s">
        <v>27</v>
      </c>
      <c r="C4" s="293"/>
      <c r="D4" s="293"/>
      <c r="E4" s="293"/>
      <c r="F4" s="293"/>
      <c r="G4" s="293"/>
      <c r="H4" s="293"/>
      <c r="I4" s="293"/>
    </row>
    <row r="5" spans="2:10" ht="15.75" thickBot="1" x14ac:dyDescent="0.3"/>
    <row r="6" spans="2:10" ht="90" customHeight="1" x14ac:dyDescent="0.25">
      <c r="B6" s="151" t="s">
        <v>180</v>
      </c>
      <c r="C6" s="124" t="s">
        <v>277</v>
      </c>
      <c r="D6" s="66" t="s">
        <v>50</v>
      </c>
      <c r="E6" s="294" t="s">
        <v>52</v>
      </c>
      <c r="F6" s="295"/>
      <c r="G6" s="45" t="s">
        <v>0</v>
      </c>
      <c r="H6" s="109"/>
      <c r="I6" s="109"/>
    </row>
    <row r="7" spans="2:10" ht="46.5" customHeight="1" x14ac:dyDescent="0.25">
      <c r="B7" s="321" t="s">
        <v>278</v>
      </c>
      <c r="C7" s="67" t="s">
        <v>279</v>
      </c>
      <c r="D7" s="68">
        <v>0.5</v>
      </c>
      <c r="E7" s="296" t="s">
        <v>53</v>
      </c>
      <c r="F7" s="297"/>
      <c r="G7" s="300" t="s">
        <v>105</v>
      </c>
      <c r="H7" s="33"/>
      <c r="I7" s="152"/>
      <c r="J7" s="153"/>
    </row>
    <row r="8" spans="2:10" ht="48" customHeight="1" x14ac:dyDescent="0.25">
      <c r="B8" s="322"/>
      <c r="C8" s="67" t="s">
        <v>280</v>
      </c>
      <c r="D8" s="68">
        <v>0.5</v>
      </c>
      <c r="E8" s="298"/>
      <c r="F8" s="299"/>
      <c r="G8" s="301"/>
      <c r="H8" s="35"/>
      <c r="I8" s="152"/>
      <c r="J8" s="153"/>
    </row>
    <row r="9" spans="2:10" ht="39.75" customHeight="1" thickBot="1" x14ac:dyDescent="0.3">
      <c r="B9" s="323"/>
      <c r="C9" s="69"/>
      <c r="D9" s="125"/>
      <c r="E9" s="303" t="s">
        <v>51</v>
      </c>
      <c r="F9" s="304"/>
      <c r="G9" s="302"/>
      <c r="H9" s="35"/>
      <c r="I9" s="34"/>
    </row>
    <row r="11" spans="2:10" x14ac:dyDescent="0.25">
      <c r="B11" s="21" t="s">
        <v>28</v>
      </c>
      <c r="C11" s="32" t="s">
        <v>29</v>
      </c>
      <c r="D11" s="32" t="s">
        <v>18</v>
      </c>
      <c r="E11" s="32" t="s">
        <v>0</v>
      </c>
    </row>
    <row r="12" spans="2:10" x14ac:dyDescent="0.25">
      <c r="B12" s="36" t="s">
        <v>30</v>
      </c>
      <c r="C12" s="37">
        <v>5437884572</v>
      </c>
      <c r="D12" s="38">
        <f>+C12/828116</f>
        <v>6566.5734897043412</v>
      </c>
      <c r="E12" s="38"/>
    </row>
    <row r="13" spans="2:10" x14ac:dyDescent="0.25">
      <c r="B13" s="36" t="s">
        <v>38</v>
      </c>
      <c r="C13" s="37">
        <f>+C12*0.75</f>
        <v>4078413429</v>
      </c>
      <c r="D13" s="38">
        <f>+C13/828116</f>
        <v>4924.9301172782561</v>
      </c>
      <c r="E13" s="126" t="s">
        <v>0</v>
      </c>
    </row>
    <row r="14" spans="2:10" x14ac:dyDescent="0.25">
      <c r="B14" s="36" t="s">
        <v>39</v>
      </c>
      <c r="C14" s="37">
        <f>+C12*1.2</f>
        <v>6525461486.3999996</v>
      </c>
      <c r="D14" s="38">
        <f>+C14/828116</f>
        <v>7879.8881876452087</v>
      </c>
      <c r="E14" s="38"/>
    </row>
    <row r="15" spans="2:10" x14ac:dyDescent="0.25">
      <c r="B15" s="36" t="s">
        <v>40</v>
      </c>
      <c r="C15" s="37">
        <f>+C12*1.5</f>
        <v>8156826858</v>
      </c>
      <c r="D15" s="38">
        <f>+C15/828116</f>
        <v>9849.8602345565123</v>
      </c>
      <c r="E15" s="38"/>
    </row>
    <row r="17" spans="1:14" x14ac:dyDescent="0.25">
      <c r="B17" s="23" t="s">
        <v>31</v>
      </c>
      <c r="C17" s="23"/>
      <c r="D17" s="23"/>
    </row>
    <row r="18" spans="1:14" ht="30" x14ac:dyDescent="0.25">
      <c r="B18" s="32" t="s">
        <v>32</v>
      </c>
      <c r="C18" s="21" t="s">
        <v>33</v>
      </c>
      <c r="D18" s="32" t="s">
        <v>34</v>
      </c>
      <c r="E18" s="21" t="s">
        <v>54</v>
      </c>
      <c r="F18" s="21" t="s">
        <v>41</v>
      </c>
      <c r="G18" s="21" t="s">
        <v>42</v>
      </c>
      <c r="H18" s="21" t="s">
        <v>43</v>
      </c>
      <c r="I18" s="32" t="s">
        <v>17</v>
      </c>
    </row>
    <row r="19" spans="1:14" ht="65.099999999999994" customHeight="1" x14ac:dyDescent="0.25">
      <c r="A19" s="32">
        <v>1</v>
      </c>
      <c r="B19" s="94" t="s">
        <v>281</v>
      </c>
      <c r="C19" s="94" t="str">
        <f>+C7</f>
        <v>AURELIO GUTIERREZ CASTILLO</v>
      </c>
      <c r="D19" s="94">
        <v>1</v>
      </c>
      <c r="E19" s="94" t="s">
        <v>0</v>
      </c>
      <c r="F19" s="127">
        <v>12770.01</v>
      </c>
      <c r="G19" s="97">
        <f>+F19*828116</f>
        <v>10575049601.16</v>
      </c>
      <c r="H19" s="98" t="s">
        <v>146</v>
      </c>
      <c r="I19" s="99" t="s">
        <v>0</v>
      </c>
    </row>
    <row r="20" spans="1:14" ht="65.099999999999994" customHeight="1" x14ac:dyDescent="0.25">
      <c r="A20" s="32">
        <v>2</v>
      </c>
      <c r="B20" s="94" t="s">
        <v>282</v>
      </c>
      <c r="C20" s="94" t="s">
        <v>279</v>
      </c>
      <c r="D20" s="94">
        <v>29</v>
      </c>
      <c r="E20" s="94" t="s">
        <v>0</v>
      </c>
      <c r="F20" s="127">
        <v>3138.45</v>
      </c>
      <c r="G20" s="97">
        <f>+F20*828116</f>
        <v>2599000660.1999998</v>
      </c>
      <c r="H20" s="98" t="s">
        <v>283</v>
      </c>
      <c r="I20" s="99" t="s">
        <v>0</v>
      </c>
    </row>
    <row r="21" spans="1:14" ht="65.099999999999994" hidden="1" customHeight="1" x14ac:dyDescent="0.25">
      <c r="A21" s="32">
        <v>3</v>
      </c>
      <c r="B21" s="94"/>
      <c r="C21" s="94"/>
      <c r="D21" s="146"/>
      <c r="E21" s="94"/>
      <c r="F21" s="127"/>
      <c r="G21" s="97"/>
      <c r="H21" s="98"/>
      <c r="I21" s="99"/>
    </row>
    <row r="22" spans="1:14" ht="65.099999999999994" hidden="1" customHeight="1" x14ac:dyDescent="0.25">
      <c r="A22" s="32">
        <v>4</v>
      </c>
      <c r="B22" s="94"/>
      <c r="C22" s="94"/>
      <c r="D22" s="94"/>
      <c r="E22" s="94"/>
      <c r="F22" s="127"/>
      <c r="G22" s="97"/>
      <c r="H22" s="98"/>
      <c r="I22" s="99"/>
    </row>
    <row r="23" spans="1:14" ht="65.099999999999994" hidden="1" customHeight="1" x14ac:dyDescent="0.25">
      <c r="A23" s="32">
        <v>5</v>
      </c>
      <c r="B23" s="2"/>
      <c r="C23" s="2"/>
      <c r="D23" s="2"/>
      <c r="E23" s="2"/>
      <c r="F23" s="130"/>
      <c r="G23" s="131"/>
      <c r="H23" s="24"/>
      <c r="I23" s="132"/>
    </row>
    <row r="24" spans="1:14" ht="65.099999999999994" hidden="1" customHeight="1" x14ac:dyDescent="0.25">
      <c r="A24" s="32">
        <v>6</v>
      </c>
      <c r="B24" s="2"/>
      <c r="C24" s="2"/>
      <c r="D24" s="2"/>
      <c r="E24" s="2"/>
      <c r="F24" s="130"/>
      <c r="G24" s="131"/>
      <c r="H24" s="24"/>
      <c r="I24" s="132"/>
    </row>
    <row r="25" spans="1:14" x14ac:dyDescent="0.25">
      <c r="B25" s="154"/>
      <c r="C25" s="154"/>
      <c r="D25" s="154"/>
      <c r="E25" s="32" t="s">
        <v>35</v>
      </c>
      <c r="F25" s="25">
        <f>SUM(F19:F24)</f>
        <v>15908.46</v>
      </c>
      <c r="G25" s="40">
        <f>SUM(G19:G24)</f>
        <v>13174050261.360001</v>
      </c>
      <c r="H25" s="26"/>
    </row>
    <row r="26" spans="1:14" x14ac:dyDescent="0.25">
      <c r="B26" s="34"/>
      <c r="D26" s="34"/>
      <c r="E26" s="42" t="s">
        <v>18</v>
      </c>
      <c r="F26" s="43"/>
      <c r="G26" s="44">
        <f>+G25/828116</f>
        <v>15908.460000000001</v>
      </c>
      <c r="H26" s="41"/>
    </row>
    <row r="28" spans="1:14" ht="43.5" customHeight="1" x14ac:dyDescent="0.25">
      <c r="B28" s="305" t="s">
        <v>44</v>
      </c>
      <c r="C28" s="305"/>
      <c r="D28" s="305"/>
      <c r="E28" s="305"/>
      <c r="F28" s="305"/>
      <c r="G28" s="305"/>
      <c r="H28" s="306"/>
      <c r="I28" s="306"/>
      <c r="J28" s="306"/>
      <c r="K28" s="306"/>
      <c r="L28" s="306"/>
      <c r="M28" s="306"/>
      <c r="N28" s="306"/>
    </row>
    <row r="29" spans="1:14" ht="31.5" customHeight="1" x14ac:dyDescent="0.25">
      <c r="B29" s="307" t="s">
        <v>45</v>
      </c>
      <c r="C29" s="307"/>
      <c r="D29" s="307"/>
      <c r="E29" s="307"/>
      <c r="F29" s="307"/>
      <c r="G29" s="307"/>
      <c r="H29" s="308"/>
      <c r="I29" s="308"/>
      <c r="J29" s="308"/>
      <c r="K29" s="308"/>
      <c r="L29" s="308"/>
      <c r="M29" s="308"/>
      <c r="N29" s="308"/>
    </row>
    <row r="30" spans="1:14" ht="31.5" customHeight="1" x14ac:dyDescent="0.25">
      <c r="B30" s="307" t="s">
        <v>46</v>
      </c>
      <c r="C30" s="307"/>
      <c r="D30" s="307"/>
      <c r="E30" s="307"/>
      <c r="F30" s="307"/>
      <c r="G30" s="307"/>
      <c r="H30" s="309"/>
      <c r="I30" s="309"/>
      <c r="J30" s="309"/>
      <c r="K30" s="309"/>
      <c r="L30" s="309"/>
      <c r="M30" s="309"/>
      <c r="N30" s="309"/>
    </row>
    <row r="31" spans="1:14" ht="34.5" customHeight="1" x14ac:dyDescent="0.25">
      <c r="B31" s="307" t="s">
        <v>47</v>
      </c>
      <c r="C31" s="310"/>
      <c r="D31" s="310"/>
      <c r="E31" s="310"/>
      <c r="F31" s="310"/>
      <c r="G31" s="310"/>
      <c r="H31" s="309"/>
      <c r="I31" s="309"/>
      <c r="J31" s="309"/>
      <c r="K31" s="309"/>
      <c r="L31" s="309"/>
      <c r="M31" s="309"/>
      <c r="N31" s="309"/>
    </row>
    <row r="32" spans="1:14" ht="34.5" customHeight="1" x14ac:dyDescent="0.25">
      <c r="B32" s="307" t="s">
        <v>48</v>
      </c>
      <c r="C32" s="310"/>
      <c r="D32" s="310"/>
      <c r="E32" s="310"/>
      <c r="F32" s="310"/>
      <c r="G32" s="310"/>
      <c r="H32" s="309"/>
      <c r="I32" s="309"/>
      <c r="J32" s="309"/>
      <c r="K32" s="309"/>
      <c r="L32" s="309"/>
      <c r="M32" s="309"/>
      <c r="N32" s="309"/>
    </row>
    <row r="33" spans="2:10" x14ac:dyDescent="0.25">
      <c r="B33" s="27"/>
      <c r="G33" s="28"/>
    </row>
    <row r="36" spans="2:10" x14ac:dyDescent="0.25">
      <c r="B36" s="311" t="s">
        <v>49</v>
      </c>
      <c r="C36" s="311"/>
      <c r="D36" s="311"/>
    </row>
    <row r="37" spans="2:10" x14ac:dyDescent="0.25">
      <c r="B37" s="20"/>
    </row>
    <row r="42" spans="2:10" x14ac:dyDescent="0.25">
      <c r="H42" s="29"/>
      <c r="I42" s="30"/>
      <c r="J42" s="31"/>
    </row>
    <row r="43" spans="2:10" x14ac:dyDescent="0.25">
      <c r="H43" s="29"/>
      <c r="I43" s="30"/>
      <c r="J43" s="31"/>
    </row>
  </sheetData>
  <mergeCells count="19">
    <mergeCell ref="B2:I2"/>
    <mergeCell ref="B3:I3"/>
    <mergeCell ref="B4:I4"/>
    <mergeCell ref="E6:F6"/>
    <mergeCell ref="B7:B9"/>
    <mergeCell ref="E7:F8"/>
    <mergeCell ref="G7:G9"/>
    <mergeCell ref="E9:F9"/>
    <mergeCell ref="B28:G28"/>
    <mergeCell ref="H28:N28"/>
    <mergeCell ref="B29:G29"/>
    <mergeCell ref="H29:N29"/>
    <mergeCell ref="B30:G30"/>
    <mergeCell ref="H30:N30"/>
    <mergeCell ref="B31:G31"/>
    <mergeCell ref="H31:N31"/>
    <mergeCell ref="B32:G32"/>
    <mergeCell ref="H32:N32"/>
    <mergeCell ref="B36:D36"/>
  </mergeCells>
  <pageMargins left="0.7" right="0.7" top="0.75" bottom="0.75" header="0.3" footer="0.3"/>
  <pageSetup scale="40" orientation="portrait" r:id="rId1"/>
  <colBreaks count="1" manualBreakCount="1">
    <brk id="9" max="1048575" man="1"/>
  </colBreaks>
  <legacyDrawing r:id="rId2"/>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N45"/>
  <sheetViews>
    <sheetView view="pageBreakPreview" topLeftCell="A11" zoomScale="60" zoomScaleNormal="100" workbookViewId="0">
      <selection activeCell="J27" sqref="J27"/>
    </sheetView>
  </sheetViews>
  <sheetFormatPr baseColWidth="10" defaultRowHeight="15" x14ac:dyDescent="0.25"/>
  <cols>
    <col min="1" max="1" width="7.5703125" style="20" customWidth="1"/>
    <col min="2" max="2" width="25.5703125" style="22" customWidth="1"/>
    <col min="3" max="3" width="30" style="22" customWidth="1"/>
    <col min="4" max="4" width="18.7109375" style="20" customWidth="1"/>
    <col min="5" max="5" width="15.5703125" style="20" customWidth="1"/>
    <col min="6" max="6" width="25.140625" style="20" customWidth="1"/>
    <col min="7" max="7" width="34" style="20" bestFit="1" customWidth="1"/>
    <col min="8" max="8" width="17.5703125" style="20" customWidth="1"/>
    <col min="9" max="9" width="50.28515625" style="20" customWidth="1"/>
    <col min="10" max="10" width="11.42578125" style="20"/>
    <col min="11" max="11" width="12.28515625" style="20" bestFit="1" customWidth="1"/>
    <col min="12" max="12" width="11.42578125" style="20"/>
    <col min="13" max="13" width="10.85546875" style="20" bestFit="1" customWidth="1"/>
    <col min="14" max="14" width="6.28515625" style="20" customWidth="1"/>
    <col min="15" max="16384" width="11.42578125" style="20"/>
  </cols>
  <sheetData>
    <row r="2" spans="2:9" ht="23.25" x14ac:dyDescent="0.25">
      <c r="B2" s="293" t="s">
        <v>26</v>
      </c>
      <c r="C2" s="293"/>
      <c r="D2" s="293"/>
      <c r="E2" s="293"/>
      <c r="F2" s="293"/>
      <c r="G2" s="293"/>
      <c r="H2" s="293"/>
      <c r="I2" s="293"/>
    </row>
    <row r="3" spans="2:9" ht="23.25" x14ac:dyDescent="0.25">
      <c r="B3" s="293" t="s">
        <v>37</v>
      </c>
      <c r="C3" s="293"/>
      <c r="D3" s="293"/>
      <c r="E3" s="293"/>
      <c r="F3" s="293"/>
      <c r="G3" s="293"/>
      <c r="H3" s="293"/>
      <c r="I3" s="293"/>
    </row>
    <row r="4" spans="2:9" ht="23.25" x14ac:dyDescent="0.25">
      <c r="B4" s="293" t="s">
        <v>27</v>
      </c>
      <c r="C4" s="293"/>
      <c r="D4" s="293"/>
      <c r="E4" s="293"/>
      <c r="F4" s="293"/>
      <c r="G4" s="293"/>
      <c r="H4" s="293"/>
      <c r="I4" s="293"/>
    </row>
    <row r="5" spans="2:9" ht="15.75" thickBot="1" x14ac:dyDescent="0.3"/>
    <row r="6" spans="2:9" ht="90" customHeight="1" x14ac:dyDescent="0.25">
      <c r="B6" s="151" t="s">
        <v>180</v>
      </c>
      <c r="C6" s="124" t="s">
        <v>277</v>
      </c>
      <c r="D6" s="66" t="s">
        <v>50</v>
      </c>
      <c r="E6" s="294" t="s">
        <v>52</v>
      </c>
      <c r="F6" s="295"/>
      <c r="G6" s="45" t="s">
        <v>0</v>
      </c>
      <c r="H6" s="109"/>
      <c r="I6" s="109"/>
    </row>
    <row r="7" spans="2:9" ht="34.5" customHeight="1" x14ac:dyDescent="0.25">
      <c r="B7" s="321" t="s">
        <v>284</v>
      </c>
      <c r="C7" s="67" t="s">
        <v>285</v>
      </c>
      <c r="D7" s="68">
        <v>0.8</v>
      </c>
      <c r="E7" s="296" t="s">
        <v>53</v>
      </c>
      <c r="F7" s="297"/>
      <c r="G7" s="333" t="s">
        <v>286</v>
      </c>
      <c r="H7" s="33"/>
      <c r="I7" s="34"/>
    </row>
    <row r="8" spans="2:9" ht="58.5" customHeight="1" x14ac:dyDescent="0.25">
      <c r="B8" s="322"/>
      <c r="C8" s="67" t="s">
        <v>287</v>
      </c>
      <c r="D8" s="68">
        <v>0.2</v>
      </c>
      <c r="E8" s="298"/>
      <c r="F8" s="299"/>
      <c r="G8" s="334"/>
      <c r="H8" s="35"/>
      <c r="I8" s="34"/>
    </row>
    <row r="9" spans="2:9" ht="39.75" customHeight="1" thickBot="1" x14ac:dyDescent="0.3">
      <c r="B9" s="323"/>
      <c r="C9" s="69"/>
      <c r="D9" s="125"/>
      <c r="E9" s="303" t="s">
        <v>51</v>
      </c>
      <c r="F9" s="304"/>
      <c r="G9" s="335"/>
      <c r="H9" s="35"/>
      <c r="I9" s="34"/>
    </row>
    <row r="11" spans="2:9" x14ac:dyDescent="0.25">
      <c r="B11" s="21" t="s">
        <v>28</v>
      </c>
      <c r="C11" s="32" t="s">
        <v>29</v>
      </c>
      <c r="D11" s="32" t="s">
        <v>18</v>
      </c>
      <c r="E11" s="32" t="s">
        <v>0</v>
      </c>
    </row>
    <row r="12" spans="2:9" x14ac:dyDescent="0.25">
      <c r="B12" s="36" t="s">
        <v>30</v>
      </c>
      <c r="C12" s="37">
        <v>5437884572</v>
      </c>
      <c r="D12" s="38">
        <f>+C12/828116</f>
        <v>6566.5734897043412</v>
      </c>
      <c r="E12" s="38"/>
    </row>
    <row r="13" spans="2:9" x14ac:dyDescent="0.25">
      <c r="B13" s="36" t="s">
        <v>38</v>
      </c>
      <c r="C13" s="37">
        <f>+C12*0.75</f>
        <v>4078413429</v>
      </c>
      <c r="D13" s="38">
        <f>+C13/828116</f>
        <v>4924.9301172782561</v>
      </c>
      <c r="E13" s="38"/>
    </row>
    <row r="14" spans="2:9" x14ac:dyDescent="0.25">
      <c r="B14" s="36" t="s">
        <v>39</v>
      </c>
      <c r="C14" s="37">
        <f>+C12*1.2</f>
        <v>6525461486.3999996</v>
      </c>
      <c r="D14" s="38">
        <f>+C14/828116</f>
        <v>7879.8881876452087</v>
      </c>
      <c r="E14" s="102" t="s">
        <v>0</v>
      </c>
    </row>
    <row r="15" spans="2:9" x14ac:dyDescent="0.25">
      <c r="B15" s="36" t="s">
        <v>40</v>
      </c>
      <c r="C15" s="37">
        <f>+C12*1.5</f>
        <v>8156826858</v>
      </c>
      <c r="D15" s="38">
        <f>+C15/828116</f>
        <v>9849.8602345565123</v>
      </c>
      <c r="E15" s="38"/>
    </row>
    <row r="17" spans="1:14" x14ac:dyDescent="0.25">
      <c r="B17" s="23" t="s">
        <v>31</v>
      </c>
      <c r="C17" s="23"/>
      <c r="D17" s="23"/>
    </row>
    <row r="18" spans="1:14" ht="30" x14ac:dyDescent="0.25">
      <c r="B18" s="32" t="s">
        <v>32</v>
      </c>
      <c r="C18" s="21" t="s">
        <v>33</v>
      </c>
      <c r="D18" s="32" t="s">
        <v>34</v>
      </c>
      <c r="E18" s="21" t="s">
        <v>54</v>
      </c>
      <c r="F18" s="21" t="s">
        <v>41</v>
      </c>
      <c r="G18" s="21" t="s">
        <v>42</v>
      </c>
      <c r="H18" s="21" t="s">
        <v>43</v>
      </c>
      <c r="I18" s="32" t="s">
        <v>17</v>
      </c>
    </row>
    <row r="19" spans="1:14" ht="65.099999999999994" customHeight="1" x14ac:dyDescent="0.25">
      <c r="A19" s="324">
        <v>1</v>
      </c>
      <c r="B19" s="327" t="s">
        <v>288</v>
      </c>
      <c r="C19" s="94" t="str">
        <f>+C8</f>
        <v>PROMOTORA PUGA LTDA</v>
      </c>
      <c r="D19" s="94">
        <v>14</v>
      </c>
      <c r="E19" s="327" t="s">
        <v>0</v>
      </c>
      <c r="F19" s="155">
        <f>15904.87*80%</f>
        <v>12723.896000000001</v>
      </c>
      <c r="G19" s="97">
        <f>+F19*828116</f>
        <v>10536861859.936001</v>
      </c>
      <c r="H19" s="330" t="s">
        <v>289</v>
      </c>
      <c r="I19" s="99" t="s">
        <v>290</v>
      </c>
    </row>
    <row r="20" spans="1:14" ht="65.099999999999994" customHeight="1" x14ac:dyDescent="0.25">
      <c r="A20" s="325"/>
      <c r="B20" s="328"/>
      <c r="C20" s="327" t="str">
        <f>+C7</f>
        <v>PROMCIVILES SAS</v>
      </c>
      <c r="D20" s="94">
        <v>19</v>
      </c>
      <c r="E20" s="328"/>
      <c r="F20" s="144">
        <f>15785.63*5%</f>
        <v>789.28150000000005</v>
      </c>
      <c r="G20" s="97">
        <f t="shared" ref="G20:G22" si="0">+F20*828116</f>
        <v>653616638.65400004</v>
      </c>
      <c r="H20" s="331"/>
      <c r="I20" s="99"/>
    </row>
    <row r="21" spans="1:14" ht="65.099999999999994" customHeight="1" x14ac:dyDescent="0.25">
      <c r="A21" s="326"/>
      <c r="B21" s="329"/>
      <c r="C21" s="329"/>
      <c r="D21" s="94">
        <v>70</v>
      </c>
      <c r="E21" s="329"/>
      <c r="F21" s="144">
        <f>15785.63*5%</f>
        <v>789.28150000000005</v>
      </c>
      <c r="G21" s="97">
        <f t="shared" si="0"/>
        <v>653616638.65400004</v>
      </c>
      <c r="H21" s="332"/>
      <c r="I21" s="99"/>
    </row>
    <row r="22" spans="1:14" ht="65.099999999999994" customHeight="1" x14ac:dyDescent="0.25">
      <c r="A22" s="324">
        <v>2</v>
      </c>
      <c r="B22" s="327" t="s">
        <v>291</v>
      </c>
      <c r="C22" s="94" t="str">
        <f>+C7</f>
        <v>PROMCIVILES SAS</v>
      </c>
      <c r="D22" s="94">
        <v>17</v>
      </c>
      <c r="E22" s="327" t="s">
        <v>0</v>
      </c>
      <c r="F22" s="144">
        <f>14590.68*20%</f>
        <v>2918.1360000000004</v>
      </c>
      <c r="G22" s="97">
        <f t="shared" si="0"/>
        <v>2416555111.7760005</v>
      </c>
      <c r="H22" s="330" t="s">
        <v>289</v>
      </c>
      <c r="I22" s="99" t="s">
        <v>292</v>
      </c>
    </row>
    <row r="23" spans="1:14" ht="65.099999999999994" customHeight="1" x14ac:dyDescent="0.25">
      <c r="A23" s="326"/>
      <c r="B23" s="329"/>
      <c r="C23" s="94" t="str">
        <f>+C8</f>
        <v>PROMOTORA PUGA LTDA</v>
      </c>
      <c r="D23" s="94">
        <v>23</v>
      </c>
      <c r="E23" s="329"/>
      <c r="F23" s="144">
        <f>14590.68*40%</f>
        <v>5836.2720000000008</v>
      </c>
      <c r="G23" s="97">
        <f>+F23*828116</f>
        <v>4833110223.552001</v>
      </c>
      <c r="H23" s="332"/>
      <c r="I23" s="99"/>
    </row>
    <row r="24" spans="1:14" ht="65.099999999999994" hidden="1" customHeight="1" x14ac:dyDescent="0.25">
      <c r="A24" s="32"/>
      <c r="B24" s="94"/>
      <c r="C24" s="94"/>
      <c r="D24" s="94"/>
      <c r="E24" s="94"/>
      <c r="F24" s="127"/>
      <c r="G24" s="97"/>
      <c r="H24" s="98"/>
      <c r="I24" s="99"/>
    </row>
    <row r="25" spans="1:14" ht="65.099999999999994" hidden="1" customHeight="1" x14ac:dyDescent="0.25">
      <c r="A25" s="32"/>
      <c r="B25" s="2"/>
      <c r="C25" s="2"/>
      <c r="D25" s="2"/>
      <c r="E25" s="2"/>
      <c r="F25" s="130"/>
      <c r="G25" s="131"/>
      <c r="H25" s="24"/>
      <c r="I25" s="132"/>
    </row>
    <row r="26" spans="1:14" ht="65.099999999999994" hidden="1" customHeight="1" x14ac:dyDescent="0.25">
      <c r="A26" s="32"/>
      <c r="B26" s="2"/>
      <c r="C26" s="2"/>
      <c r="D26" s="2"/>
      <c r="E26" s="2"/>
      <c r="F26" s="130"/>
      <c r="G26" s="131"/>
      <c r="H26" s="24"/>
      <c r="I26" s="132"/>
    </row>
    <row r="27" spans="1:14" x14ac:dyDescent="0.25">
      <c r="B27" s="154"/>
      <c r="C27" s="154"/>
      <c r="D27" s="156"/>
      <c r="E27" s="32" t="s">
        <v>35</v>
      </c>
      <c r="F27" s="25">
        <f>SUM(F19:F26)</f>
        <v>23056.867000000002</v>
      </c>
      <c r="G27" s="40">
        <f>SUM(G19:G26)</f>
        <v>19093760472.572002</v>
      </c>
      <c r="H27" s="26"/>
    </row>
    <row r="28" spans="1:14" x14ac:dyDescent="0.25">
      <c r="B28" s="34"/>
      <c r="D28" s="34"/>
      <c r="E28" s="42" t="s">
        <v>18</v>
      </c>
      <c r="F28" s="43"/>
      <c r="G28" s="44">
        <f>+G27/828116</f>
        <v>23056.867000000002</v>
      </c>
      <c r="H28" s="41"/>
    </row>
    <row r="30" spans="1:14" ht="43.5" customHeight="1" x14ac:dyDescent="0.25">
      <c r="B30" s="305" t="s">
        <v>44</v>
      </c>
      <c r="C30" s="305"/>
      <c r="D30" s="305"/>
      <c r="E30" s="305"/>
      <c r="F30" s="305"/>
      <c r="G30" s="305"/>
      <c r="H30" s="306"/>
      <c r="I30" s="306"/>
      <c r="J30" s="306"/>
      <c r="K30" s="306"/>
      <c r="L30" s="306"/>
      <c r="M30" s="306"/>
      <c r="N30" s="306"/>
    </row>
    <row r="31" spans="1:14" ht="31.5" customHeight="1" x14ac:dyDescent="0.25">
      <c r="B31" s="307" t="s">
        <v>45</v>
      </c>
      <c r="C31" s="307"/>
      <c r="D31" s="307"/>
      <c r="E31" s="307"/>
      <c r="F31" s="307"/>
      <c r="G31" s="307"/>
      <c r="H31" s="308"/>
      <c r="I31" s="308"/>
      <c r="J31" s="308"/>
      <c r="K31" s="308"/>
      <c r="L31" s="308"/>
      <c r="M31" s="308"/>
      <c r="N31" s="308"/>
    </row>
    <row r="32" spans="1:14" ht="31.5" customHeight="1" x14ac:dyDescent="0.25">
      <c r="B32" s="307" t="s">
        <v>46</v>
      </c>
      <c r="C32" s="307"/>
      <c r="D32" s="307"/>
      <c r="E32" s="307"/>
      <c r="F32" s="307"/>
      <c r="G32" s="307"/>
      <c r="H32" s="309"/>
      <c r="I32" s="309"/>
      <c r="J32" s="309"/>
      <c r="K32" s="309"/>
      <c r="L32" s="309"/>
      <c r="M32" s="309"/>
      <c r="N32" s="309"/>
    </row>
    <row r="33" spans="2:14" ht="34.5" customHeight="1" x14ac:dyDescent="0.25">
      <c r="B33" s="307" t="s">
        <v>47</v>
      </c>
      <c r="C33" s="310"/>
      <c r="D33" s="310"/>
      <c r="E33" s="310"/>
      <c r="F33" s="310"/>
      <c r="G33" s="310"/>
      <c r="H33" s="309"/>
      <c r="I33" s="309"/>
      <c r="J33" s="309"/>
      <c r="K33" s="309"/>
      <c r="L33" s="309"/>
      <c r="M33" s="309"/>
      <c r="N33" s="309"/>
    </row>
    <row r="34" spans="2:14" ht="34.5" customHeight="1" x14ac:dyDescent="0.25">
      <c r="B34" s="307" t="s">
        <v>48</v>
      </c>
      <c r="C34" s="310"/>
      <c r="D34" s="310"/>
      <c r="E34" s="310"/>
      <c r="F34" s="310"/>
      <c r="G34" s="310"/>
      <c r="H34" s="309"/>
      <c r="I34" s="309"/>
      <c r="J34" s="309"/>
      <c r="K34" s="309"/>
      <c r="L34" s="309"/>
      <c r="M34" s="309"/>
      <c r="N34" s="309"/>
    </row>
    <row r="35" spans="2:14" x14ac:dyDescent="0.25">
      <c r="B35" s="27"/>
      <c r="G35" s="28"/>
    </row>
    <row r="38" spans="2:14" x14ac:dyDescent="0.25">
      <c r="B38" s="311" t="s">
        <v>49</v>
      </c>
      <c r="C38" s="311"/>
      <c r="D38" s="311"/>
    </row>
    <row r="39" spans="2:14" x14ac:dyDescent="0.25">
      <c r="B39" s="20"/>
    </row>
    <row r="44" spans="2:14" x14ac:dyDescent="0.25">
      <c r="H44" s="29"/>
      <c r="I44" s="30"/>
      <c r="J44" s="31"/>
    </row>
    <row r="45" spans="2:14" x14ac:dyDescent="0.25">
      <c r="H45" s="29"/>
      <c r="I45" s="30"/>
      <c r="J45" s="31"/>
    </row>
  </sheetData>
  <mergeCells count="28">
    <mergeCell ref="A22:A23"/>
    <mergeCell ref="B22:B23"/>
    <mergeCell ref="E22:E23"/>
    <mergeCell ref="H22:H23"/>
    <mergeCell ref="B2:I2"/>
    <mergeCell ref="B3:I3"/>
    <mergeCell ref="B4:I4"/>
    <mergeCell ref="E6:F6"/>
    <mergeCell ref="B7:B9"/>
    <mergeCell ref="E7:F8"/>
    <mergeCell ref="G7:G9"/>
    <mergeCell ref="E9:F9"/>
    <mergeCell ref="A19:A21"/>
    <mergeCell ref="B19:B21"/>
    <mergeCell ref="E19:E21"/>
    <mergeCell ref="H19:H21"/>
    <mergeCell ref="C20:C21"/>
    <mergeCell ref="B30:G30"/>
    <mergeCell ref="H30:N30"/>
    <mergeCell ref="B31:G31"/>
    <mergeCell ref="H31:N31"/>
    <mergeCell ref="B32:G32"/>
    <mergeCell ref="H32:N32"/>
    <mergeCell ref="B33:G33"/>
    <mergeCell ref="H33:N33"/>
    <mergeCell ref="B34:G34"/>
    <mergeCell ref="H34:N34"/>
    <mergeCell ref="B38:D38"/>
  </mergeCells>
  <pageMargins left="0.7" right="0.7" top="0.75" bottom="0.75" header="0.3" footer="0.3"/>
  <pageSetup scale="40" orientation="portrait" r:id="rId1"/>
  <colBreaks count="1" manualBreakCount="1">
    <brk id="9" max="1048575" man="1"/>
  </colBreaks>
  <legacyDrawing r:id="rId2"/>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N43"/>
  <sheetViews>
    <sheetView view="pageBreakPreview" topLeftCell="A10" zoomScale="60" zoomScaleNormal="100" workbookViewId="0">
      <selection activeCell="H27" sqref="H27"/>
    </sheetView>
  </sheetViews>
  <sheetFormatPr baseColWidth="10" defaultRowHeight="15" x14ac:dyDescent="0.25"/>
  <cols>
    <col min="1" max="1" width="7.5703125" style="20" customWidth="1"/>
    <col min="2" max="2" width="25.5703125" style="22" customWidth="1"/>
    <col min="3" max="3" width="30" style="22" customWidth="1"/>
    <col min="4" max="4" width="18.7109375" style="20" customWidth="1"/>
    <col min="5" max="5" width="15.5703125" style="20" customWidth="1"/>
    <col min="6" max="6" width="25.140625" style="20" customWidth="1"/>
    <col min="7" max="7" width="26.7109375" style="20" customWidth="1"/>
    <col min="8" max="8" width="17.5703125" style="20" customWidth="1"/>
    <col min="9" max="9" width="76.42578125" style="20" customWidth="1"/>
    <col min="10" max="10" width="11.42578125" style="20"/>
    <col min="11" max="11" width="12.28515625" style="20" bestFit="1" customWidth="1"/>
    <col min="12" max="12" width="11.42578125" style="20"/>
    <col min="13" max="13" width="10.85546875" style="20" bestFit="1" customWidth="1"/>
    <col min="14" max="14" width="6.28515625" style="20" customWidth="1"/>
    <col min="15" max="16384" width="11.42578125" style="20"/>
  </cols>
  <sheetData>
    <row r="2" spans="2:9" ht="23.25" x14ac:dyDescent="0.25">
      <c r="B2" s="293" t="s">
        <v>26</v>
      </c>
      <c r="C2" s="293"/>
      <c r="D2" s="293"/>
      <c r="E2" s="293"/>
      <c r="F2" s="293"/>
      <c r="G2" s="293"/>
      <c r="H2" s="293"/>
      <c r="I2" s="293"/>
    </row>
    <row r="3" spans="2:9" ht="23.25" x14ac:dyDescent="0.25">
      <c r="B3" s="293" t="s">
        <v>37</v>
      </c>
      <c r="C3" s="293"/>
      <c r="D3" s="293"/>
      <c r="E3" s="293"/>
      <c r="F3" s="293"/>
      <c r="G3" s="293"/>
      <c r="H3" s="293"/>
      <c r="I3" s="293"/>
    </row>
    <row r="4" spans="2:9" ht="23.25" x14ac:dyDescent="0.25">
      <c r="B4" s="293" t="s">
        <v>27</v>
      </c>
      <c r="C4" s="293"/>
      <c r="D4" s="293"/>
      <c r="E4" s="293"/>
      <c r="F4" s="293"/>
      <c r="G4" s="293"/>
      <c r="H4" s="293"/>
      <c r="I4" s="293"/>
    </row>
    <row r="5" spans="2:9" ht="15.75" thickBot="1" x14ac:dyDescent="0.3"/>
    <row r="6" spans="2:9" ht="90" customHeight="1" x14ac:dyDescent="0.25">
      <c r="B6" s="151" t="s">
        <v>180</v>
      </c>
      <c r="C6" s="124" t="s">
        <v>277</v>
      </c>
      <c r="D6" s="66" t="s">
        <v>50</v>
      </c>
      <c r="E6" s="294" t="s">
        <v>52</v>
      </c>
      <c r="F6" s="295"/>
      <c r="G6" s="45" t="s">
        <v>0</v>
      </c>
      <c r="H6" s="109"/>
      <c r="I6" s="109"/>
    </row>
    <row r="7" spans="2:9" ht="34.5" customHeight="1" x14ac:dyDescent="0.25">
      <c r="B7" s="321" t="s">
        <v>293</v>
      </c>
      <c r="C7" s="67" t="s">
        <v>294</v>
      </c>
      <c r="D7" s="68">
        <v>0.3</v>
      </c>
      <c r="E7" s="336" t="s">
        <v>53</v>
      </c>
      <c r="F7" s="297"/>
      <c r="G7" s="333" t="s">
        <v>286</v>
      </c>
      <c r="H7" s="33"/>
      <c r="I7" s="34"/>
    </row>
    <row r="8" spans="2:9" ht="58.5" customHeight="1" x14ac:dyDescent="0.25">
      <c r="B8" s="322"/>
      <c r="C8" s="67" t="s">
        <v>295</v>
      </c>
      <c r="D8" s="68">
        <v>0.35</v>
      </c>
      <c r="E8" s="337"/>
      <c r="F8" s="338"/>
      <c r="G8" s="334"/>
      <c r="H8" s="35"/>
      <c r="I8" s="34"/>
    </row>
    <row r="9" spans="2:9" ht="58.5" customHeight="1" x14ac:dyDescent="0.25">
      <c r="B9" s="322"/>
      <c r="C9" s="67" t="s">
        <v>296</v>
      </c>
      <c r="D9" s="157">
        <v>0.35</v>
      </c>
      <c r="E9" s="339"/>
      <c r="F9" s="299"/>
      <c r="G9" s="334"/>
      <c r="H9" s="35"/>
      <c r="I9" s="34"/>
    </row>
    <row r="10" spans="2:9" ht="39.75" customHeight="1" thickBot="1" x14ac:dyDescent="0.3">
      <c r="B10" s="323"/>
      <c r="C10" s="158"/>
      <c r="D10" s="125"/>
      <c r="E10" s="303" t="s">
        <v>51</v>
      </c>
      <c r="F10" s="304"/>
      <c r="G10" s="335"/>
      <c r="H10" s="35"/>
      <c r="I10" s="34"/>
    </row>
    <row r="12" spans="2:9" x14ac:dyDescent="0.25">
      <c r="B12" s="21" t="s">
        <v>28</v>
      </c>
      <c r="C12" s="32" t="s">
        <v>29</v>
      </c>
      <c r="D12" s="32" t="s">
        <v>18</v>
      </c>
      <c r="E12" s="32" t="s">
        <v>0</v>
      </c>
    </row>
    <row r="13" spans="2:9" x14ac:dyDescent="0.25">
      <c r="B13" s="36" t="s">
        <v>30</v>
      </c>
      <c r="C13" s="37">
        <v>5437884572</v>
      </c>
      <c r="D13" s="38">
        <f>+C13/828116</f>
        <v>6566.5734897043412</v>
      </c>
      <c r="E13" s="38"/>
    </row>
    <row r="14" spans="2:9" x14ac:dyDescent="0.25">
      <c r="B14" s="36" t="s">
        <v>38</v>
      </c>
      <c r="C14" s="37">
        <f>+C13*0.75</f>
        <v>4078413429</v>
      </c>
      <c r="D14" s="38">
        <f>+C14/828116</f>
        <v>4924.9301172782561</v>
      </c>
      <c r="E14" s="102" t="s">
        <v>0</v>
      </c>
    </row>
    <row r="15" spans="2:9" x14ac:dyDescent="0.25">
      <c r="B15" s="36" t="s">
        <v>39</v>
      </c>
      <c r="C15" s="37">
        <f>+C13*1.2</f>
        <v>6525461486.3999996</v>
      </c>
      <c r="D15" s="38">
        <f>+C15/828116</f>
        <v>7879.8881876452087</v>
      </c>
      <c r="E15" s="38"/>
    </row>
    <row r="16" spans="2:9" x14ac:dyDescent="0.25">
      <c r="B16" s="36" t="s">
        <v>40</v>
      </c>
      <c r="C16" s="37">
        <f>+C13*1.5</f>
        <v>8156826858</v>
      </c>
      <c r="D16" s="38">
        <f>+C16/828116</f>
        <v>9849.8602345565123</v>
      </c>
      <c r="E16" s="38"/>
    </row>
    <row r="18" spans="1:14" x14ac:dyDescent="0.25">
      <c r="B18" s="23" t="s">
        <v>31</v>
      </c>
      <c r="C18" s="23"/>
      <c r="D18" s="23"/>
    </row>
    <row r="19" spans="1:14" ht="30" x14ac:dyDescent="0.25">
      <c r="B19" s="32" t="s">
        <v>32</v>
      </c>
      <c r="C19" s="21" t="s">
        <v>33</v>
      </c>
      <c r="D19" s="32" t="s">
        <v>34</v>
      </c>
      <c r="E19" s="21" t="s">
        <v>54</v>
      </c>
      <c r="F19" s="21" t="s">
        <v>41</v>
      </c>
      <c r="G19" s="21" t="s">
        <v>42</v>
      </c>
      <c r="H19" s="21" t="s">
        <v>43</v>
      </c>
      <c r="I19" s="32" t="s">
        <v>17</v>
      </c>
    </row>
    <row r="20" spans="1:14" ht="138" customHeight="1" x14ac:dyDescent="0.25">
      <c r="A20" s="32">
        <v>1</v>
      </c>
      <c r="B20" s="94" t="s">
        <v>297</v>
      </c>
      <c r="C20" s="94" t="s">
        <v>296</v>
      </c>
      <c r="D20" s="94">
        <v>4</v>
      </c>
      <c r="E20" s="94" t="s">
        <v>240</v>
      </c>
      <c r="F20" s="144">
        <f>24746.37*49%</f>
        <v>12125.721299999999</v>
      </c>
      <c r="G20" s="97">
        <f>+F20*828116</f>
        <v>10041503820.070799</v>
      </c>
      <c r="H20" s="159" t="s">
        <v>298</v>
      </c>
      <c r="I20" s="160" t="s">
        <v>299</v>
      </c>
    </row>
    <row r="21" spans="1:14" ht="65.099999999999994" customHeight="1" x14ac:dyDescent="0.25">
      <c r="A21" s="32">
        <v>2</v>
      </c>
      <c r="B21" s="94" t="s">
        <v>300</v>
      </c>
      <c r="C21" s="94" t="s">
        <v>296</v>
      </c>
      <c r="D21" s="94">
        <v>7</v>
      </c>
      <c r="E21" s="94" t="s">
        <v>105</v>
      </c>
      <c r="F21" s="144">
        <f>15785.63*5%</f>
        <v>789.28150000000005</v>
      </c>
      <c r="G21" s="97">
        <f t="shared" ref="G21" si="0">+F21*828116</f>
        <v>653616638.65400004</v>
      </c>
      <c r="H21" s="159" t="s">
        <v>301</v>
      </c>
      <c r="I21" s="160" t="s">
        <v>302</v>
      </c>
    </row>
    <row r="22" spans="1:14" ht="65.099999999999994" hidden="1" customHeight="1" x14ac:dyDescent="0.25">
      <c r="A22" s="32"/>
      <c r="B22" s="94"/>
      <c r="C22" s="94"/>
      <c r="D22" s="94"/>
      <c r="E22" s="94"/>
      <c r="F22" s="127"/>
      <c r="G22" s="97"/>
      <c r="H22" s="98"/>
      <c r="I22" s="99"/>
    </row>
    <row r="23" spans="1:14" ht="65.099999999999994" hidden="1" customHeight="1" x14ac:dyDescent="0.25">
      <c r="A23" s="32"/>
      <c r="B23" s="2"/>
      <c r="C23" s="2"/>
      <c r="D23" s="2"/>
      <c r="E23" s="2"/>
      <c r="F23" s="130"/>
      <c r="G23" s="131"/>
      <c r="H23" s="24"/>
      <c r="I23" s="132"/>
    </row>
    <row r="24" spans="1:14" ht="65.099999999999994" hidden="1" customHeight="1" x14ac:dyDescent="0.25">
      <c r="A24" s="32"/>
      <c r="B24" s="2"/>
      <c r="C24" s="2"/>
      <c r="D24" s="2"/>
      <c r="E24" s="2"/>
      <c r="F24" s="130"/>
      <c r="G24" s="131"/>
      <c r="H24" s="24"/>
      <c r="I24" s="132"/>
    </row>
    <row r="25" spans="1:14" x14ac:dyDescent="0.25">
      <c r="B25" s="154"/>
      <c r="C25" s="154"/>
      <c r="D25" s="156"/>
      <c r="E25" s="32" t="s">
        <v>35</v>
      </c>
      <c r="F25" s="25">
        <f>SUM(F20:F24)</f>
        <v>12915.002799999998</v>
      </c>
      <c r="G25" s="40">
        <f>SUM(G20:G24)</f>
        <v>10695120458.724798</v>
      </c>
      <c r="H25" s="26"/>
    </row>
    <row r="26" spans="1:14" x14ac:dyDescent="0.25">
      <c r="B26" s="34"/>
      <c r="D26" s="34"/>
      <c r="E26" s="42" t="s">
        <v>18</v>
      </c>
      <c r="F26" s="43"/>
      <c r="G26" s="44">
        <f>+G25/828116</f>
        <v>12915.002799999998</v>
      </c>
      <c r="H26" s="41"/>
    </row>
    <row r="28" spans="1:14" ht="43.5" customHeight="1" x14ac:dyDescent="0.25">
      <c r="B28" s="305" t="s">
        <v>44</v>
      </c>
      <c r="C28" s="305"/>
      <c r="D28" s="305"/>
      <c r="E28" s="305"/>
      <c r="F28" s="305"/>
      <c r="G28" s="305"/>
      <c r="H28" s="306"/>
      <c r="I28" s="306"/>
      <c r="J28" s="306"/>
      <c r="K28" s="306"/>
      <c r="L28" s="306"/>
      <c r="M28" s="306"/>
      <c r="N28" s="306"/>
    </row>
    <row r="29" spans="1:14" ht="31.5" customHeight="1" x14ac:dyDescent="0.25">
      <c r="B29" s="307" t="s">
        <v>45</v>
      </c>
      <c r="C29" s="307"/>
      <c r="D29" s="307"/>
      <c r="E29" s="307"/>
      <c r="F29" s="307"/>
      <c r="G29" s="307"/>
      <c r="H29" s="308"/>
      <c r="I29" s="308"/>
      <c r="J29" s="308"/>
      <c r="K29" s="308"/>
      <c r="L29" s="308"/>
      <c r="M29" s="308"/>
      <c r="N29" s="308"/>
    </row>
    <row r="30" spans="1:14" ht="31.5" customHeight="1" x14ac:dyDescent="0.25">
      <c r="B30" s="307" t="s">
        <v>46</v>
      </c>
      <c r="C30" s="307"/>
      <c r="D30" s="307"/>
      <c r="E30" s="307"/>
      <c r="F30" s="307"/>
      <c r="G30" s="307"/>
      <c r="H30" s="309"/>
      <c r="I30" s="309"/>
      <c r="J30" s="309"/>
      <c r="K30" s="309"/>
      <c r="L30" s="309"/>
      <c r="M30" s="309"/>
      <c r="N30" s="309"/>
    </row>
    <row r="31" spans="1:14" ht="34.5" customHeight="1" x14ac:dyDescent="0.25">
      <c r="B31" s="307" t="s">
        <v>47</v>
      </c>
      <c r="C31" s="310"/>
      <c r="D31" s="310"/>
      <c r="E31" s="310"/>
      <c r="F31" s="310"/>
      <c r="G31" s="310"/>
      <c r="H31" s="309"/>
      <c r="I31" s="309"/>
      <c r="J31" s="309"/>
      <c r="K31" s="309"/>
      <c r="L31" s="309"/>
      <c r="M31" s="309"/>
      <c r="N31" s="309"/>
    </row>
    <row r="32" spans="1:14" ht="34.5" customHeight="1" x14ac:dyDescent="0.25">
      <c r="B32" s="307" t="s">
        <v>48</v>
      </c>
      <c r="C32" s="310"/>
      <c r="D32" s="310"/>
      <c r="E32" s="310"/>
      <c r="F32" s="310"/>
      <c r="G32" s="310"/>
      <c r="H32" s="309"/>
      <c r="I32" s="309"/>
      <c r="J32" s="309"/>
      <c r="K32" s="309"/>
      <c r="L32" s="309"/>
      <c r="M32" s="309"/>
      <c r="N32" s="309"/>
    </row>
    <row r="33" spans="2:10" x14ac:dyDescent="0.25">
      <c r="B33" s="27"/>
      <c r="G33" s="28"/>
    </row>
    <row r="36" spans="2:10" x14ac:dyDescent="0.25">
      <c r="B36" s="311" t="s">
        <v>49</v>
      </c>
      <c r="C36" s="311"/>
      <c r="D36" s="311"/>
    </row>
    <row r="37" spans="2:10" x14ac:dyDescent="0.25">
      <c r="B37" s="20"/>
    </row>
    <row r="42" spans="2:10" x14ac:dyDescent="0.25">
      <c r="H42" s="29"/>
      <c r="I42" s="30"/>
      <c r="J42" s="31"/>
    </row>
    <row r="43" spans="2:10" x14ac:dyDescent="0.25">
      <c r="H43" s="29"/>
      <c r="I43" s="30"/>
      <c r="J43" s="31"/>
    </row>
  </sheetData>
  <mergeCells count="19">
    <mergeCell ref="B2:I2"/>
    <mergeCell ref="B3:I3"/>
    <mergeCell ref="B4:I4"/>
    <mergeCell ref="E6:F6"/>
    <mergeCell ref="B7:B10"/>
    <mergeCell ref="E7:F9"/>
    <mergeCell ref="G7:G10"/>
    <mergeCell ref="E10:F10"/>
    <mergeCell ref="B28:G28"/>
    <mergeCell ref="H28:N28"/>
    <mergeCell ref="B29:G29"/>
    <mergeCell ref="H29:N29"/>
    <mergeCell ref="B30:G30"/>
    <mergeCell ref="H30:N30"/>
    <mergeCell ref="B31:G31"/>
    <mergeCell ref="H31:N31"/>
    <mergeCell ref="B32:G32"/>
    <mergeCell ref="H32:N32"/>
    <mergeCell ref="B36:D36"/>
  </mergeCells>
  <pageMargins left="0.7" right="0.7" top="0.75" bottom="0.75" header="0.3" footer="0.3"/>
  <pageSetup scale="37" orientation="portrait" r:id="rId1"/>
  <colBreaks count="1" manualBreakCount="1">
    <brk id="9" max="1048575" man="1"/>
  </colBreaks>
  <legacyDrawing r:id="rId2"/>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N42"/>
  <sheetViews>
    <sheetView view="pageBreakPreview" topLeftCell="A9" zoomScale="60" zoomScaleNormal="100" workbookViewId="0">
      <selection activeCell="E14" sqref="E14"/>
    </sheetView>
  </sheetViews>
  <sheetFormatPr baseColWidth="10" defaultRowHeight="15" x14ac:dyDescent="0.25"/>
  <cols>
    <col min="1" max="1" width="7.5703125" style="20" customWidth="1"/>
    <col min="2" max="2" width="25.5703125" style="22" customWidth="1"/>
    <col min="3" max="3" width="30" style="22" customWidth="1"/>
    <col min="4" max="4" width="18.7109375" style="20" customWidth="1"/>
    <col min="5" max="5" width="15.5703125" style="20" customWidth="1"/>
    <col min="6" max="6" width="25.140625" style="20" customWidth="1"/>
    <col min="7" max="7" width="26.7109375" style="20" customWidth="1"/>
    <col min="8" max="8" width="17.5703125" style="20" customWidth="1"/>
    <col min="9" max="9" width="76.42578125" style="20" customWidth="1"/>
    <col min="10" max="10" width="11.42578125" style="20"/>
    <col min="11" max="11" width="12.28515625" style="20" bestFit="1" customWidth="1"/>
    <col min="12" max="12" width="11.42578125" style="20"/>
    <col min="13" max="13" width="10.85546875" style="20" bestFit="1" customWidth="1"/>
    <col min="14" max="14" width="6.28515625" style="20" customWidth="1"/>
    <col min="15" max="16384" width="11.42578125" style="20"/>
  </cols>
  <sheetData>
    <row r="2" spans="2:9" ht="23.25" x14ac:dyDescent="0.25">
      <c r="B2" s="293" t="s">
        <v>26</v>
      </c>
      <c r="C2" s="293"/>
      <c r="D2" s="293"/>
      <c r="E2" s="293"/>
      <c r="F2" s="293"/>
      <c r="G2" s="293"/>
      <c r="H2" s="293"/>
      <c r="I2" s="293"/>
    </row>
    <row r="3" spans="2:9" ht="23.25" x14ac:dyDescent="0.25">
      <c r="B3" s="293" t="s">
        <v>37</v>
      </c>
      <c r="C3" s="293"/>
      <c r="D3" s="293"/>
      <c r="E3" s="293"/>
      <c r="F3" s="293"/>
      <c r="G3" s="293"/>
      <c r="H3" s="293"/>
      <c r="I3" s="293"/>
    </row>
    <row r="4" spans="2:9" ht="23.25" x14ac:dyDescent="0.25">
      <c r="B4" s="293" t="s">
        <v>27</v>
      </c>
      <c r="C4" s="293"/>
      <c r="D4" s="293"/>
      <c r="E4" s="293"/>
      <c r="F4" s="293"/>
      <c r="G4" s="293"/>
      <c r="H4" s="293"/>
      <c r="I4" s="293"/>
    </row>
    <row r="5" spans="2:9" ht="15.75" thickBot="1" x14ac:dyDescent="0.3"/>
    <row r="6" spans="2:9" ht="90" customHeight="1" x14ac:dyDescent="0.25">
      <c r="B6" s="151" t="s">
        <v>180</v>
      </c>
      <c r="C6" s="124" t="s">
        <v>277</v>
      </c>
      <c r="D6" s="66" t="s">
        <v>50</v>
      </c>
      <c r="E6" s="294" t="s">
        <v>52</v>
      </c>
      <c r="F6" s="295"/>
      <c r="G6" s="45" t="s">
        <v>0</v>
      </c>
      <c r="H6" s="109"/>
      <c r="I6" s="109"/>
    </row>
    <row r="7" spans="2:9" ht="34.5" customHeight="1" x14ac:dyDescent="0.25">
      <c r="B7" s="321" t="s">
        <v>303</v>
      </c>
      <c r="C7" s="67" t="s">
        <v>304</v>
      </c>
      <c r="D7" s="68">
        <v>0.75</v>
      </c>
      <c r="E7" s="336" t="s">
        <v>53</v>
      </c>
      <c r="F7" s="297"/>
      <c r="G7" s="333" t="s">
        <v>286</v>
      </c>
      <c r="H7" s="33"/>
      <c r="I7" s="34"/>
    </row>
    <row r="8" spans="2:9" ht="58.5" customHeight="1" x14ac:dyDescent="0.25">
      <c r="B8" s="322"/>
      <c r="C8" s="67" t="s">
        <v>305</v>
      </c>
      <c r="D8" s="68">
        <v>0.25</v>
      </c>
      <c r="E8" s="337"/>
      <c r="F8" s="338"/>
      <c r="G8" s="334"/>
      <c r="H8" s="35"/>
      <c r="I8" s="34"/>
    </row>
    <row r="9" spans="2:9" ht="39.75" customHeight="1" thickBot="1" x14ac:dyDescent="0.3">
      <c r="B9" s="323"/>
      <c r="C9" s="158"/>
      <c r="D9" s="125"/>
      <c r="E9" s="303" t="s">
        <v>51</v>
      </c>
      <c r="F9" s="304"/>
      <c r="G9" s="335"/>
      <c r="H9" s="35"/>
      <c r="I9" s="34"/>
    </row>
    <row r="11" spans="2:9" x14ac:dyDescent="0.25">
      <c r="B11" s="21" t="s">
        <v>28</v>
      </c>
      <c r="C11" s="32" t="s">
        <v>29</v>
      </c>
      <c r="D11" s="32" t="s">
        <v>18</v>
      </c>
      <c r="E11" s="32" t="s">
        <v>0</v>
      </c>
    </row>
    <row r="12" spans="2:9" x14ac:dyDescent="0.25">
      <c r="B12" s="36" t="s">
        <v>30</v>
      </c>
      <c r="C12" s="37">
        <v>5437884572</v>
      </c>
      <c r="D12" s="38">
        <f>+C12/828116</f>
        <v>6566.5734897043412</v>
      </c>
      <c r="E12" s="38"/>
    </row>
    <row r="13" spans="2:9" x14ac:dyDescent="0.25">
      <c r="B13" s="36" t="s">
        <v>38</v>
      </c>
      <c r="C13" s="37">
        <f>+C12*0.75</f>
        <v>4078413429</v>
      </c>
      <c r="D13" s="38">
        <f>+C13/828116</f>
        <v>4924.9301172782561</v>
      </c>
      <c r="E13" s="38"/>
    </row>
    <row r="14" spans="2:9" x14ac:dyDescent="0.25">
      <c r="B14" s="36" t="s">
        <v>39</v>
      </c>
      <c r="C14" s="37">
        <f>+C12*1.2</f>
        <v>6525461486.3999996</v>
      </c>
      <c r="D14" s="38">
        <f>+C14/828116</f>
        <v>7879.8881876452087</v>
      </c>
      <c r="E14" s="102" t="s">
        <v>0</v>
      </c>
    </row>
    <row r="15" spans="2:9" x14ac:dyDescent="0.25">
      <c r="B15" s="36" t="s">
        <v>40</v>
      </c>
      <c r="C15" s="37">
        <f>+C12*1.5</f>
        <v>8156826858</v>
      </c>
      <c r="D15" s="38">
        <f>+C15/828116</f>
        <v>9849.8602345565123</v>
      </c>
      <c r="E15" s="38"/>
    </row>
    <row r="17" spans="1:14" x14ac:dyDescent="0.25">
      <c r="B17" s="23" t="s">
        <v>31</v>
      </c>
      <c r="C17" s="23"/>
      <c r="D17" s="23"/>
    </row>
    <row r="18" spans="1:14" ht="30" x14ac:dyDescent="0.25">
      <c r="B18" s="32" t="s">
        <v>32</v>
      </c>
      <c r="C18" s="21" t="s">
        <v>33</v>
      </c>
      <c r="D18" s="32" t="s">
        <v>34</v>
      </c>
      <c r="E18" s="21" t="s">
        <v>54</v>
      </c>
      <c r="F18" s="21" t="s">
        <v>41</v>
      </c>
      <c r="G18" s="21" t="s">
        <v>42</v>
      </c>
      <c r="H18" s="21" t="s">
        <v>43</v>
      </c>
      <c r="I18" s="32" t="s">
        <v>17</v>
      </c>
    </row>
    <row r="19" spans="1:14" ht="90" x14ac:dyDescent="0.25">
      <c r="A19" s="32">
        <v>1</v>
      </c>
      <c r="B19" s="94" t="s">
        <v>306</v>
      </c>
      <c r="C19" s="93" t="s">
        <v>305</v>
      </c>
      <c r="D19" s="94">
        <v>7</v>
      </c>
      <c r="E19" s="94" t="s">
        <v>105</v>
      </c>
      <c r="F19" s="144">
        <f>18750.58*50%</f>
        <v>9375.2900000000009</v>
      </c>
      <c r="G19" s="97">
        <f>+F19*828116</f>
        <v>7763827653.6400003</v>
      </c>
      <c r="H19" s="98" t="s">
        <v>307</v>
      </c>
      <c r="I19" s="160"/>
    </row>
    <row r="20" spans="1:14" ht="105" x14ac:dyDescent="0.25">
      <c r="A20" s="32">
        <v>2</v>
      </c>
      <c r="B20" s="94" t="s">
        <v>308</v>
      </c>
      <c r="C20" s="93" t="s">
        <v>305</v>
      </c>
      <c r="D20" s="94">
        <v>11</v>
      </c>
      <c r="E20" s="94" t="s">
        <v>105</v>
      </c>
      <c r="F20" s="144">
        <f>6739.63*100%</f>
        <v>6739.63</v>
      </c>
      <c r="G20" s="97">
        <f t="shared" ref="G20:G23" si="0">+F20*828116</f>
        <v>5581195437.0799999</v>
      </c>
      <c r="H20" s="98" t="s">
        <v>309</v>
      </c>
      <c r="I20" s="160" t="s">
        <v>310</v>
      </c>
    </row>
    <row r="21" spans="1:14" ht="90" x14ac:dyDescent="0.25">
      <c r="A21" s="32">
        <v>3</v>
      </c>
      <c r="B21" s="94" t="s">
        <v>311</v>
      </c>
      <c r="C21" s="93" t="s">
        <v>305</v>
      </c>
      <c r="D21" s="94">
        <v>4</v>
      </c>
      <c r="E21" s="94" t="s">
        <v>105</v>
      </c>
      <c r="F21" s="144">
        <f>13389.23*49.5%</f>
        <v>6627.66885</v>
      </c>
      <c r="G21" s="97">
        <f t="shared" si="0"/>
        <v>5488478617.3865995</v>
      </c>
      <c r="H21" s="98" t="s">
        <v>307</v>
      </c>
      <c r="I21" s="160" t="s">
        <v>310</v>
      </c>
    </row>
    <row r="22" spans="1:14" ht="75" x14ac:dyDescent="0.25">
      <c r="A22" s="7">
        <v>4</v>
      </c>
      <c r="B22" s="94" t="s">
        <v>312</v>
      </c>
      <c r="C22" s="93" t="s">
        <v>305</v>
      </c>
      <c r="D22" s="94">
        <v>3</v>
      </c>
      <c r="E22" s="94" t="s">
        <v>105</v>
      </c>
      <c r="F22" s="144">
        <f>52.69*50%</f>
        <v>26.344999999999999</v>
      </c>
      <c r="G22" s="97">
        <f t="shared" si="0"/>
        <v>21816716.02</v>
      </c>
      <c r="H22" s="161" t="s">
        <v>313</v>
      </c>
      <c r="I22" s="160" t="s">
        <v>314</v>
      </c>
    </row>
    <row r="23" spans="1:14" hidden="1" x14ac:dyDescent="0.25">
      <c r="A23" s="32"/>
      <c r="B23" s="2"/>
      <c r="C23" s="2"/>
      <c r="D23" s="2"/>
      <c r="E23" s="2"/>
      <c r="F23" s="144">
        <f t="shared" ref="F23" si="1">0*5%</f>
        <v>0</v>
      </c>
      <c r="G23" s="97">
        <f t="shared" si="0"/>
        <v>0</v>
      </c>
      <c r="H23" s="162"/>
      <c r="I23" s="99"/>
    </row>
    <row r="24" spans="1:14" x14ac:dyDescent="0.25">
      <c r="B24" s="154"/>
      <c r="C24" s="154"/>
      <c r="D24" s="156"/>
      <c r="E24" s="32" t="s">
        <v>35</v>
      </c>
      <c r="F24" s="25">
        <f>SUM(F19:F23)</f>
        <v>22768.933850000001</v>
      </c>
      <c r="G24" s="163">
        <f>SUM(G19:G23)</f>
        <v>18855318424.126602</v>
      </c>
      <c r="H24" s="164"/>
      <c r="I24" s="165"/>
    </row>
    <row r="25" spans="1:14" x14ac:dyDescent="0.25">
      <c r="B25" s="34"/>
      <c r="D25" s="34"/>
      <c r="E25" s="42" t="s">
        <v>18</v>
      </c>
      <c r="F25" s="43"/>
      <c r="G25" s="44">
        <f>+G24/828116</f>
        <v>22768.933850000001</v>
      </c>
      <c r="H25" s="41"/>
    </row>
    <row r="27" spans="1:14" ht="43.5" customHeight="1" x14ac:dyDescent="0.25">
      <c r="B27" s="305" t="s">
        <v>44</v>
      </c>
      <c r="C27" s="305"/>
      <c r="D27" s="305"/>
      <c r="E27" s="305"/>
      <c r="F27" s="305"/>
      <c r="G27" s="305"/>
      <c r="H27" s="306"/>
      <c r="I27" s="306"/>
      <c r="J27" s="306"/>
      <c r="K27" s="306"/>
      <c r="L27" s="306"/>
      <c r="M27" s="306"/>
      <c r="N27" s="306"/>
    </row>
    <row r="28" spans="1:14" ht="31.5" customHeight="1" x14ac:dyDescent="0.25">
      <c r="B28" s="307" t="s">
        <v>45</v>
      </c>
      <c r="C28" s="307"/>
      <c r="D28" s="307"/>
      <c r="E28" s="307"/>
      <c r="F28" s="307"/>
      <c r="G28" s="307"/>
      <c r="H28" s="308"/>
      <c r="I28" s="308"/>
      <c r="J28" s="308"/>
      <c r="K28" s="308"/>
      <c r="L28" s="308"/>
      <c r="M28" s="308"/>
      <c r="N28" s="308"/>
    </row>
    <row r="29" spans="1:14" ht="31.5" customHeight="1" x14ac:dyDescent="0.25">
      <c r="B29" s="307" t="s">
        <v>46</v>
      </c>
      <c r="C29" s="307"/>
      <c r="D29" s="307"/>
      <c r="E29" s="307"/>
      <c r="F29" s="307"/>
      <c r="G29" s="307"/>
      <c r="H29" s="309"/>
      <c r="I29" s="309"/>
      <c r="J29" s="309"/>
      <c r="K29" s="309"/>
      <c r="L29" s="309"/>
      <c r="M29" s="309"/>
      <c r="N29" s="309"/>
    </row>
    <row r="30" spans="1:14" ht="34.5" customHeight="1" x14ac:dyDescent="0.25">
      <c r="B30" s="307" t="s">
        <v>47</v>
      </c>
      <c r="C30" s="310"/>
      <c r="D30" s="310"/>
      <c r="E30" s="310"/>
      <c r="F30" s="310"/>
      <c r="G30" s="310"/>
      <c r="H30" s="309"/>
      <c r="I30" s="309"/>
      <c r="J30" s="309"/>
      <c r="K30" s="309"/>
      <c r="L30" s="309"/>
      <c r="M30" s="309"/>
      <c r="N30" s="309"/>
    </row>
    <row r="31" spans="1:14" ht="34.5" customHeight="1" x14ac:dyDescent="0.25">
      <c r="B31" s="307" t="s">
        <v>48</v>
      </c>
      <c r="C31" s="310"/>
      <c r="D31" s="310"/>
      <c r="E31" s="310"/>
      <c r="F31" s="310"/>
      <c r="G31" s="310"/>
      <c r="H31" s="309"/>
      <c r="I31" s="309"/>
      <c r="J31" s="309"/>
      <c r="K31" s="309"/>
      <c r="L31" s="309"/>
      <c r="M31" s="309"/>
      <c r="N31" s="309"/>
    </row>
    <row r="32" spans="1:14" x14ac:dyDescent="0.25">
      <c r="B32" s="27"/>
      <c r="G32" s="28"/>
    </row>
    <row r="35" spans="2:10" x14ac:dyDescent="0.25">
      <c r="B35" s="311" t="s">
        <v>49</v>
      </c>
      <c r="C35" s="311"/>
      <c r="D35" s="311"/>
    </row>
    <row r="36" spans="2:10" x14ac:dyDescent="0.25">
      <c r="B36" s="20"/>
    </row>
    <row r="41" spans="2:10" x14ac:dyDescent="0.25">
      <c r="H41" s="29"/>
      <c r="I41" s="30"/>
      <c r="J41" s="31"/>
    </row>
    <row r="42" spans="2:10" x14ac:dyDescent="0.25">
      <c r="H42" s="29"/>
      <c r="I42" s="30"/>
      <c r="J42" s="31"/>
    </row>
  </sheetData>
  <mergeCells count="19">
    <mergeCell ref="B2:I2"/>
    <mergeCell ref="B3:I3"/>
    <mergeCell ref="B4:I4"/>
    <mergeCell ref="E6:F6"/>
    <mergeCell ref="B7:B9"/>
    <mergeCell ref="E7:F8"/>
    <mergeCell ref="G7:G9"/>
    <mergeCell ref="E9:F9"/>
    <mergeCell ref="B27:G27"/>
    <mergeCell ref="H27:N27"/>
    <mergeCell ref="B28:G28"/>
    <mergeCell ref="H28:N28"/>
    <mergeCell ref="B29:G29"/>
    <mergeCell ref="H29:N29"/>
    <mergeCell ref="B30:G30"/>
    <mergeCell ref="H30:N30"/>
    <mergeCell ref="B31:G31"/>
    <mergeCell ref="H31:N31"/>
    <mergeCell ref="B35:D35"/>
  </mergeCells>
  <pageMargins left="0.7" right="0.7" top="0.75" bottom="0.75" header="0.3" footer="0.3"/>
  <pageSetup scale="37" orientation="portrait" r:id="rId1"/>
  <colBreaks count="1" manualBreakCount="1">
    <brk id="9" max="1048575" man="1"/>
  </colBreaks>
  <legacyDrawing r:id="rId2"/>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N42"/>
  <sheetViews>
    <sheetView view="pageBreakPreview" topLeftCell="A7" zoomScale="60" zoomScaleNormal="100" workbookViewId="0">
      <selection activeCell="E14" sqref="E14"/>
    </sheetView>
  </sheetViews>
  <sheetFormatPr baseColWidth="10" defaultRowHeight="15" x14ac:dyDescent="0.25"/>
  <cols>
    <col min="1" max="1" width="7.5703125" style="20" customWidth="1"/>
    <col min="2" max="2" width="25.5703125" style="22" customWidth="1"/>
    <col min="3" max="3" width="30" style="22" customWidth="1"/>
    <col min="4" max="4" width="18.7109375" style="20" customWidth="1"/>
    <col min="5" max="5" width="15.5703125" style="20" customWidth="1"/>
    <col min="6" max="6" width="25.140625" style="20" customWidth="1"/>
    <col min="7" max="7" width="26.7109375" style="20" customWidth="1"/>
    <col min="8" max="8" width="17.5703125" style="20" customWidth="1"/>
    <col min="9" max="9" width="76.42578125" style="20" customWidth="1"/>
    <col min="10" max="10" width="11.42578125" style="20"/>
    <col min="11" max="11" width="12.28515625" style="20" bestFit="1" customWidth="1"/>
    <col min="12" max="12" width="11.42578125" style="20"/>
    <col min="13" max="13" width="10.85546875" style="20" bestFit="1" customWidth="1"/>
    <col min="14" max="14" width="6.28515625" style="20" customWidth="1"/>
    <col min="15" max="16384" width="11.42578125" style="20"/>
  </cols>
  <sheetData>
    <row r="2" spans="2:9" ht="23.25" x14ac:dyDescent="0.25">
      <c r="B2" s="293" t="s">
        <v>26</v>
      </c>
      <c r="C2" s="293"/>
      <c r="D2" s="293"/>
      <c r="E2" s="293"/>
      <c r="F2" s="293"/>
      <c r="G2" s="293"/>
      <c r="H2" s="293"/>
      <c r="I2" s="293"/>
    </row>
    <row r="3" spans="2:9" ht="23.25" x14ac:dyDescent="0.25">
      <c r="B3" s="293" t="s">
        <v>37</v>
      </c>
      <c r="C3" s="293"/>
      <c r="D3" s="293"/>
      <c r="E3" s="293"/>
      <c r="F3" s="293"/>
      <c r="G3" s="293"/>
      <c r="H3" s="293"/>
      <c r="I3" s="293"/>
    </row>
    <row r="4" spans="2:9" ht="23.25" x14ac:dyDescent="0.25">
      <c r="B4" s="293" t="s">
        <v>27</v>
      </c>
      <c r="C4" s="293"/>
      <c r="D4" s="293"/>
      <c r="E4" s="293"/>
      <c r="F4" s="293"/>
      <c r="G4" s="293"/>
      <c r="H4" s="293"/>
      <c r="I4" s="293"/>
    </row>
    <row r="5" spans="2:9" ht="15.75" thickBot="1" x14ac:dyDescent="0.3"/>
    <row r="6" spans="2:9" ht="90" customHeight="1" x14ac:dyDescent="0.25">
      <c r="B6" s="151" t="s">
        <v>180</v>
      </c>
      <c r="C6" s="124" t="s">
        <v>277</v>
      </c>
      <c r="D6" s="66" t="s">
        <v>50</v>
      </c>
      <c r="E6" s="294" t="s">
        <v>52</v>
      </c>
      <c r="F6" s="295"/>
      <c r="G6" s="45" t="s">
        <v>0</v>
      </c>
      <c r="H6" s="109"/>
      <c r="I6" s="109"/>
    </row>
    <row r="7" spans="2:9" ht="34.5" customHeight="1" x14ac:dyDescent="0.25">
      <c r="B7" s="321" t="s">
        <v>315</v>
      </c>
      <c r="C7" s="67" t="s">
        <v>316</v>
      </c>
      <c r="D7" s="68">
        <v>0.9</v>
      </c>
      <c r="E7" s="336" t="s">
        <v>53</v>
      </c>
      <c r="F7" s="297"/>
      <c r="G7" s="333" t="s">
        <v>105</v>
      </c>
      <c r="H7" s="33"/>
      <c r="I7" s="34"/>
    </row>
    <row r="8" spans="2:9" ht="58.5" customHeight="1" x14ac:dyDescent="0.25">
      <c r="B8" s="322"/>
      <c r="C8" s="67" t="s">
        <v>317</v>
      </c>
      <c r="D8" s="68">
        <v>0.1</v>
      </c>
      <c r="E8" s="337"/>
      <c r="F8" s="338"/>
      <c r="G8" s="334"/>
      <c r="H8" s="35"/>
      <c r="I8" s="34"/>
    </row>
    <row r="9" spans="2:9" ht="39.75" customHeight="1" thickBot="1" x14ac:dyDescent="0.3">
      <c r="B9" s="323"/>
      <c r="C9" s="158"/>
      <c r="D9" s="125"/>
      <c r="E9" s="303" t="s">
        <v>51</v>
      </c>
      <c r="F9" s="304"/>
      <c r="G9" s="335"/>
      <c r="H9" s="35"/>
      <c r="I9" s="34"/>
    </row>
    <row r="11" spans="2:9" x14ac:dyDescent="0.25">
      <c r="B11" s="21" t="s">
        <v>28</v>
      </c>
      <c r="C11" s="32" t="s">
        <v>29</v>
      </c>
      <c r="D11" s="32" t="s">
        <v>18</v>
      </c>
      <c r="E11" s="32" t="s">
        <v>0</v>
      </c>
    </row>
    <row r="12" spans="2:9" x14ac:dyDescent="0.25">
      <c r="B12" s="36" t="s">
        <v>30</v>
      </c>
      <c r="C12" s="37">
        <v>5437884572</v>
      </c>
      <c r="D12" s="38">
        <f>+C12/828116</f>
        <v>6566.5734897043412</v>
      </c>
      <c r="E12" s="38"/>
    </row>
    <row r="13" spans="2:9" x14ac:dyDescent="0.25">
      <c r="B13" s="36" t="s">
        <v>38</v>
      </c>
      <c r="C13" s="37">
        <f>+C12*0.75</f>
        <v>4078413429</v>
      </c>
      <c r="D13" s="38">
        <f>+C13/828116</f>
        <v>4924.9301172782561</v>
      </c>
      <c r="E13" s="38"/>
    </row>
    <row r="14" spans="2:9" x14ac:dyDescent="0.25">
      <c r="B14" s="36" t="s">
        <v>39</v>
      </c>
      <c r="C14" s="37">
        <f>+C12*1.2</f>
        <v>6525461486.3999996</v>
      </c>
      <c r="D14" s="38">
        <f>+C14/828116</f>
        <v>7879.8881876452087</v>
      </c>
      <c r="E14" s="102" t="s">
        <v>0</v>
      </c>
    </row>
    <row r="15" spans="2:9" x14ac:dyDescent="0.25">
      <c r="B15" s="36" t="s">
        <v>40</v>
      </c>
      <c r="C15" s="37">
        <f>+C12*1.5</f>
        <v>8156826858</v>
      </c>
      <c r="D15" s="38">
        <f>+C15/828116</f>
        <v>9849.8602345565123</v>
      </c>
      <c r="E15" s="38"/>
    </row>
    <row r="17" spans="1:14" x14ac:dyDescent="0.25">
      <c r="B17" s="23" t="s">
        <v>31</v>
      </c>
      <c r="C17" s="23"/>
      <c r="D17" s="23"/>
    </row>
    <row r="18" spans="1:14" ht="30" x14ac:dyDescent="0.25">
      <c r="B18" s="32" t="s">
        <v>32</v>
      </c>
      <c r="C18" s="21" t="s">
        <v>33</v>
      </c>
      <c r="D18" s="32" t="s">
        <v>34</v>
      </c>
      <c r="E18" s="21" t="s">
        <v>54</v>
      </c>
      <c r="F18" s="21" t="s">
        <v>41</v>
      </c>
      <c r="G18" s="21" t="s">
        <v>42</v>
      </c>
      <c r="H18" s="21" t="s">
        <v>43</v>
      </c>
      <c r="I18" s="32" t="s">
        <v>17</v>
      </c>
    </row>
    <row r="19" spans="1:14" ht="90" x14ac:dyDescent="0.25">
      <c r="A19" s="32">
        <v>1</v>
      </c>
      <c r="B19" s="94" t="s">
        <v>318</v>
      </c>
      <c r="C19" s="93" t="s">
        <v>319</v>
      </c>
      <c r="D19" s="94">
        <v>2</v>
      </c>
      <c r="E19" s="94" t="s">
        <v>105</v>
      </c>
      <c r="F19" s="144">
        <f>23230.46*25%</f>
        <v>5807.6149999999998</v>
      </c>
      <c r="G19" s="97">
        <f>+F19*828116</f>
        <v>4809378903.3400002</v>
      </c>
      <c r="H19" s="98" t="s">
        <v>320</v>
      </c>
      <c r="I19" s="160"/>
    </row>
    <row r="20" spans="1:14" ht="90" x14ac:dyDescent="0.25">
      <c r="A20" s="32">
        <v>2</v>
      </c>
      <c r="B20" s="94" t="s">
        <v>321</v>
      </c>
      <c r="C20" s="93" t="s">
        <v>319</v>
      </c>
      <c r="D20" s="94">
        <v>3</v>
      </c>
      <c r="E20" s="94" t="s">
        <v>105</v>
      </c>
      <c r="F20" s="144">
        <f>16251.85*30%</f>
        <v>4875.5550000000003</v>
      </c>
      <c r="G20" s="97">
        <f t="shared" ref="G20:G23" si="0">+F20*828116</f>
        <v>4037525104.3800001</v>
      </c>
      <c r="H20" s="98" t="s">
        <v>320</v>
      </c>
      <c r="I20" s="160"/>
    </row>
    <row r="21" spans="1:14" ht="90" x14ac:dyDescent="0.25">
      <c r="A21" s="32">
        <v>3</v>
      </c>
      <c r="B21" s="94" t="s">
        <v>322</v>
      </c>
      <c r="C21" s="93" t="s">
        <v>319</v>
      </c>
      <c r="D21" s="94">
        <v>7</v>
      </c>
      <c r="E21" s="94" t="s">
        <v>105</v>
      </c>
      <c r="F21" s="144">
        <f>13758.47*25%</f>
        <v>3439.6174999999998</v>
      </c>
      <c r="G21" s="97">
        <f t="shared" si="0"/>
        <v>2848402285.6299996</v>
      </c>
      <c r="H21" s="98" t="s">
        <v>320</v>
      </c>
      <c r="I21" s="160"/>
    </row>
    <row r="22" spans="1:14" hidden="1" x14ac:dyDescent="0.25">
      <c r="A22" s="166">
        <v>4</v>
      </c>
      <c r="B22" s="94"/>
      <c r="C22" s="93"/>
      <c r="D22" s="94"/>
      <c r="E22" s="94"/>
      <c r="F22" s="144"/>
      <c r="G22" s="97">
        <f t="shared" si="0"/>
        <v>0</v>
      </c>
      <c r="H22" s="161"/>
      <c r="I22" s="160"/>
    </row>
    <row r="23" spans="1:14" hidden="1" x14ac:dyDescent="0.25">
      <c r="A23" s="32"/>
      <c r="B23" s="2"/>
      <c r="C23" s="2"/>
      <c r="D23" s="2"/>
      <c r="E23" s="2"/>
      <c r="F23" s="144">
        <f t="shared" ref="F23" si="1">0*5%</f>
        <v>0</v>
      </c>
      <c r="G23" s="97">
        <f t="shared" si="0"/>
        <v>0</v>
      </c>
      <c r="H23" s="24"/>
      <c r="I23" s="132"/>
    </row>
    <row r="24" spans="1:14" x14ac:dyDescent="0.25">
      <c r="B24" s="154"/>
      <c r="C24" s="154"/>
      <c r="D24" s="156"/>
      <c r="E24" s="32" t="s">
        <v>35</v>
      </c>
      <c r="F24" s="25">
        <f>SUM(F19:F23)</f>
        <v>14122.7875</v>
      </c>
      <c r="G24" s="40">
        <f>SUM(G19:G23)</f>
        <v>11695306293.35</v>
      </c>
      <c r="H24" s="26"/>
    </row>
    <row r="25" spans="1:14" x14ac:dyDescent="0.25">
      <c r="B25" s="34"/>
      <c r="D25" s="34"/>
      <c r="E25" s="42" t="s">
        <v>18</v>
      </c>
      <c r="F25" s="43"/>
      <c r="G25" s="44">
        <f>+G24/828116</f>
        <v>14122.7875</v>
      </c>
      <c r="H25" s="41"/>
    </row>
    <row r="27" spans="1:14" ht="43.5" customHeight="1" x14ac:dyDescent="0.25">
      <c r="B27" s="305" t="s">
        <v>44</v>
      </c>
      <c r="C27" s="305"/>
      <c r="D27" s="305"/>
      <c r="E27" s="305"/>
      <c r="F27" s="305"/>
      <c r="G27" s="305"/>
      <c r="H27" s="306"/>
      <c r="I27" s="306"/>
      <c r="J27" s="306"/>
      <c r="K27" s="306"/>
      <c r="L27" s="306"/>
      <c r="M27" s="306"/>
      <c r="N27" s="306"/>
    </row>
    <row r="28" spans="1:14" ht="31.5" customHeight="1" x14ac:dyDescent="0.25">
      <c r="B28" s="307" t="s">
        <v>45</v>
      </c>
      <c r="C28" s="307"/>
      <c r="D28" s="307"/>
      <c r="E28" s="307"/>
      <c r="F28" s="307"/>
      <c r="G28" s="307"/>
      <c r="H28" s="308"/>
      <c r="I28" s="308"/>
      <c r="J28" s="308"/>
      <c r="K28" s="308"/>
      <c r="L28" s="308"/>
      <c r="M28" s="308"/>
      <c r="N28" s="308"/>
    </row>
    <row r="29" spans="1:14" ht="31.5" customHeight="1" x14ac:dyDescent="0.25">
      <c r="B29" s="307" t="s">
        <v>46</v>
      </c>
      <c r="C29" s="307"/>
      <c r="D29" s="307"/>
      <c r="E29" s="307"/>
      <c r="F29" s="307"/>
      <c r="G29" s="307"/>
      <c r="H29" s="309"/>
      <c r="I29" s="309"/>
      <c r="J29" s="309"/>
      <c r="K29" s="309"/>
      <c r="L29" s="309"/>
      <c r="M29" s="309"/>
      <c r="N29" s="309"/>
    </row>
    <row r="30" spans="1:14" ht="34.5" customHeight="1" x14ac:dyDescent="0.25">
      <c r="B30" s="307" t="s">
        <v>47</v>
      </c>
      <c r="C30" s="310"/>
      <c r="D30" s="310"/>
      <c r="E30" s="310"/>
      <c r="F30" s="310"/>
      <c r="G30" s="310"/>
      <c r="H30" s="309"/>
      <c r="I30" s="309"/>
      <c r="J30" s="309"/>
      <c r="K30" s="309"/>
      <c r="L30" s="309"/>
      <c r="M30" s="309"/>
      <c r="N30" s="309"/>
    </row>
    <row r="31" spans="1:14" ht="34.5" customHeight="1" x14ac:dyDescent="0.25">
      <c r="B31" s="307" t="s">
        <v>48</v>
      </c>
      <c r="C31" s="310"/>
      <c r="D31" s="310"/>
      <c r="E31" s="310"/>
      <c r="F31" s="310"/>
      <c r="G31" s="310"/>
      <c r="H31" s="309"/>
      <c r="I31" s="309"/>
      <c r="J31" s="309"/>
      <c r="K31" s="309"/>
      <c r="L31" s="309"/>
      <c r="M31" s="309"/>
      <c r="N31" s="309"/>
    </row>
    <row r="32" spans="1:14" x14ac:dyDescent="0.25">
      <c r="B32" s="27"/>
      <c r="G32" s="28"/>
    </row>
    <row r="35" spans="2:10" x14ac:dyDescent="0.25">
      <c r="B35" s="311" t="s">
        <v>49</v>
      </c>
      <c r="C35" s="311"/>
      <c r="D35" s="311"/>
    </row>
    <row r="36" spans="2:10" x14ac:dyDescent="0.25">
      <c r="B36" s="20"/>
    </row>
    <row r="41" spans="2:10" x14ac:dyDescent="0.25">
      <c r="H41" s="29"/>
      <c r="I41" s="30"/>
      <c r="J41" s="31"/>
    </row>
    <row r="42" spans="2:10" x14ac:dyDescent="0.25">
      <c r="H42" s="29"/>
      <c r="I42" s="30"/>
      <c r="J42" s="31"/>
    </row>
  </sheetData>
  <mergeCells count="19">
    <mergeCell ref="B2:I2"/>
    <mergeCell ref="B3:I3"/>
    <mergeCell ref="B4:I4"/>
    <mergeCell ref="E6:F6"/>
    <mergeCell ref="B7:B9"/>
    <mergeCell ref="E7:F8"/>
    <mergeCell ref="G7:G9"/>
    <mergeCell ref="E9:F9"/>
    <mergeCell ref="B27:G27"/>
    <mergeCell ref="H27:N27"/>
    <mergeCell ref="B28:G28"/>
    <mergeCell ref="H28:N28"/>
    <mergeCell ref="B29:G29"/>
    <mergeCell ref="H29:N29"/>
    <mergeCell ref="B30:G30"/>
    <mergeCell ref="H30:N30"/>
    <mergeCell ref="B31:G31"/>
    <mergeCell ref="H31:N31"/>
    <mergeCell ref="B35:D35"/>
  </mergeCells>
  <pageMargins left="0.7" right="0.7" top="0.75" bottom="0.75" header="0.3" footer="0.3"/>
  <pageSetup scale="37" orientation="portrait" r:id="rId1"/>
  <colBreaks count="1" manualBreakCount="1">
    <brk id="9" max="1048575" man="1"/>
  </colBreaks>
  <legacyDrawing r:id="rId2"/>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N42"/>
  <sheetViews>
    <sheetView view="pageBreakPreview" topLeftCell="A4" zoomScale="60" zoomScaleNormal="100" workbookViewId="0">
      <selection activeCell="E13" sqref="E13"/>
    </sheetView>
  </sheetViews>
  <sheetFormatPr baseColWidth="10" defaultRowHeight="15" x14ac:dyDescent="0.25"/>
  <cols>
    <col min="1" max="1" width="7.5703125" style="20" customWidth="1"/>
    <col min="2" max="2" width="25.5703125" style="22" customWidth="1"/>
    <col min="3" max="3" width="30" style="22" customWidth="1"/>
    <col min="4" max="4" width="18.7109375" style="20" customWidth="1"/>
    <col min="5" max="5" width="15.5703125" style="20" customWidth="1"/>
    <col min="6" max="6" width="25.140625" style="20" customWidth="1"/>
    <col min="7" max="7" width="26.7109375" style="20" customWidth="1"/>
    <col min="8" max="8" width="17.5703125" style="20" customWidth="1"/>
    <col min="9" max="9" width="76.42578125" style="20" customWidth="1"/>
    <col min="10" max="10" width="11.42578125" style="20"/>
    <col min="11" max="11" width="12.28515625" style="20" bestFit="1" customWidth="1"/>
    <col min="12" max="12" width="11.42578125" style="20"/>
    <col min="13" max="13" width="10.85546875" style="20" bestFit="1" customWidth="1"/>
    <col min="14" max="14" width="6.28515625" style="20" customWidth="1"/>
    <col min="15" max="16384" width="11.42578125" style="20"/>
  </cols>
  <sheetData>
    <row r="2" spans="2:9" ht="23.25" x14ac:dyDescent="0.25">
      <c r="B2" s="293" t="s">
        <v>26</v>
      </c>
      <c r="C2" s="293"/>
      <c r="D2" s="293"/>
      <c r="E2" s="293"/>
      <c r="F2" s="293"/>
      <c r="G2" s="293"/>
      <c r="H2" s="293"/>
      <c r="I2" s="293"/>
    </row>
    <row r="3" spans="2:9" ht="23.25" x14ac:dyDescent="0.25">
      <c r="B3" s="293" t="s">
        <v>37</v>
      </c>
      <c r="C3" s="293"/>
      <c r="D3" s="293"/>
      <c r="E3" s="293"/>
      <c r="F3" s="293"/>
      <c r="G3" s="293"/>
      <c r="H3" s="293"/>
      <c r="I3" s="293"/>
    </row>
    <row r="4" spans="2:9" ht="23.25" x14ac:dyDescent="0.25">
      <c r="B4" s="293" t="s">
        <v>27</v>
      </c>
      <c r="C4" s="293"/>
      <c r="D4" s="293"/>
      <c r="E4" s="293"/>
      <c r="F4" s="293"/>
      <c r="G4" s="293"/>
      <c r="H4" s="293"/>
      <c r="I4" s="293"/>
    </row>
    <row r="5" spans="2:9" ht="15.75" thickBot="1" x14ac:dyDescent="0.3"/>
    <row r="6" spans="2:9" ht="90" customHeight="1" x14ac:dyDescent="0.25">
      <c r="B6" s="151" t="s">
        <v>180</v>
      </c>
      <c r="C6" s="124" t="s">
        <v>277</v>
      </c>
      <c r="D6" s="66" t="s">
        <v>50</v>
      </c>
      <c r="E6" s="294" t="s">
        <v>52</v>
      </c>
      <c r="F6" s="295"/>
      <c r="G6" s="45" t="s">
        <v>0</v>
      </c>
      <c r="H6" s="109"/>
      <c r="I6" s="109"/>
    </row>
    <row r="7" spans="2:9" ht="34.5" customHeight="1" x14ac:dyDescent="0.25">
      <c r="B7" s="321" t="s">
        <v>323</v>
      </c>
      <c r="C7" s="67" t="s">
        <v>324</v>
      </c>
      <c r="D7" s="68">
        <v>0.5</v>
      </c>
      <c r="E7" s="336" t="s">
        <v>53</v>
      </c>
      <c r="F7" s="297"/>
      <c r="G7" s="333" t="s">
        <v>105</v>
      </c>
      <c r="H7" s="33"/>
      <c r="I7" s="34"/>
    </row>
    <row r="8" spans="2:9" ht="58.5" customHeight="1" x14ac:dyDescent="0.25">
      <c r="B8" s="322"/>
      <c r="C8" s="67" t="s">
        <v>325</v>
      </c>
      <c r="D8" s="68">
        <v>0.5</v>
      </c>
      <c r="E8" s="337"/>
      <c r="F8" s="338"/>
      <c r="G8" s="334"/>
      <c r="H8" s="35"/>
      <c r="I8" s="34"/>
    </row>
    <row r="9" spans="2:9" ht="39.75" customHeight="1" thickBot="1" x14ac:dyDescent="0.3">
      <c r="B9" s="323"/>
      <c r="C9" s="158"/>
      <c r="D9" s="125"/>
      <c r="E9" s="303" t="s">
        <v>51</v>
      </c>
      <c r="F9" s="304"/>
      <c r="G9" s="335"/>
      <c r="H9" s="35"/>
      <c r="I9" s="34"/>
    </row>
    <row r="11" spans="2:9" x14ac:dyDescent="0.25">
      <c r="B11" s="21" t="s">
        <v>28</v>
      </c>
      <c r="C11" s="32" t="s">
        <v>29</v>
      </c>
      <c r="D11" s="32" t="s">
        <v>18</v>
      </c>
      <c r="E11" s="32" t="s">
        <v>0</v>
      </c>
    </row>
    <row r="12" spans="2:9" x14ac:dyDescent="0.25">
      <c r="B12" s="36" t="s">
        <v>30</v>
      </c>
      <c r="C12" s="37">
        <v>5437884572</v>
      </c>
      <c r="D12" s="38">
        <f>+C12/828116</f>
        <v>6566.5734897043412</v>
      </c>
      <c r="E12" s="38"/>
    </row>
    <row r="13" spans="2:9" x14ac:dyDescent="0.25">
      <c r="B13" s="36" t="s">
        <v>38</v>
      </c>
      <c r="C13" s="37">
        <f>+C12*0.75</f>
        <v>4078413429</v>
      </c>
      <c r="D13" s="38">
        <f>+C13/828116</f>
        <v>4924.9301172782561</v>
      </c>
      <c r="E13" s="102" t="s">
        <v>0</v>
      </c>
    </row>
    <row r="14" spans="2:9" x14ac:dyDescent="0.25">
      <c r="B14" s="36" t="s">
        <v>39</v>
      </c>
      <c r="C14" s="37">
        <f>+C12*1.2</f>
        <v>6525461486.3999996</v>
      </c>
      <c r="D14" s="38">
        <f>+C14/828116</f>
        <v>7879.8881876452087</v>
      </c>
      <c r="E14" s="38"/>
    </row>
    <row r="15" spans="2:9" x14ac:dyDescent="0.25">
      <c r="B15" s="36" t="s">
        <v>40</v>
      </c>
      <c r="C15" s="37">
        <f>+C12*1.5</f>
        <v>8156826858</v>
      </c>
      <c r="D15" s="38">
        <f>+C15/828116</f>
        <v>9849.8602345565123</v>
      </c>
      <c r="E15" s="38"/>
    </row>
    <row r="17" spans="1:14" x14ac:dyDescent="0.25">
      <c r="B17" s="23" t="s">
        <v>31</v>
      </c>
      <c r="C17" s="23"/>
      <c r="D17" s="23"/>
    </row>
    <row r="18" spans="1:14" ht="30" x14ac:dyDescent="0.25">
      <c r="B18" s="32" t="s">
        <v>32</v>
      </c>
      <c r="C18" s="21" t="s">
        <v>33</v>
      </c>
      <c r="D18" s="32" t="s">
        <v>34</v>
      </c>
      <c r="E18" s="21" t="s">
        <v>54</v>
      </c>
      <c r="F18" s="21" t="s">
        <v>41</v>
      </c>
      <c r="G18" s="21" t="s">
        <v>42</v>
      </c>
      <c r="H18" s="21" t="s">
        <v>43</v>
      </c>
      <c r="I18" s="32" t="s">
        <v>17</v>
      </c>
    </row>
    <row r="19" spans="1:14" ht="30" x14ac:dyDescent="0.25">
      <c r="A19" s="32">
        <v>1</v>
      </c>
      <c r="B19" s="94" t="s">
        <v>326</v>
      </c>
      <c r="C19" s="93" t="s">
        <v>324</v>
      </c>
      <c r="D19" s="94">
        <v>6</v>
      </c>
      <c r="E19" s="94" t="s">
        <v>105</v>
      </c>
      <c r="F19" s="144">
        <f>7906.48*50%</f>
        <v>3953.24</v>
      </c>
      <c r="G19" s="97">
        <f>+F19*828116</f>
        <v>3273741295.8399997</v>
      </c>
      <c r="H19" s="98" t="s">
        <v>289</v>
      </c>
      <c r="I19" s="160"/>
    </row>
    <row r="20" spans="1:14" ht="30" x14ac:dyDescent="0.25">
      <c r="A20" s="32">
        <v>2</v>
      </c>
      <c r="B20" s="94" t="s">
        <v>327</v>
      </c>
      <c r="C20" s="93" t="s">
        <v>324</v>
      </c>
      <c r="D20" s="94">
        <v>3</v>
      </c>
      <c r="E20" s="94" t="s">
        <v>105</v>
      </c>
      <c r="F20" s="144">
        <f>11639.64*30%</f>
        <v>3491.8919999999998</v>
      </c>
      <c r="G20" s="97">
        <f>+F20*828116</f>
        <v>2891691635.4719996</v>
      </c>
      <c r="H20" s="98" t="s">
        <v>289</v>
      </c>
      <c r="I20" s="160"/>
    </row>
    <row r="21" spans="1:14" x14ac:dyDescent="0.25">
      <c r="A21" s="32">
        <v>3</v>
      </c>
      <c r="B21" s="94"/>
      <c r="C21" s="93"/>
      <c r="D21" s="94"/>
      <c r="E21" s="94"/>
      <c r="F21" s="144"/>
      <c r="G21" s="97"/>
      <c r="H21" s="98"/>
      <c r="I21" s="160"/>
    </row>
    <row r="22" spans="1:14" hidden="1" x14ac:dyDescent="0.25">
      <c r="A22" s="166">
        <v>4</v>
      </c>
      <c r="B22" s="94"/>
      <c r="C22" s="93"/>
      <c r="D22" s="94"/>
      <c r="E22" s="94"/>
      <c r="F22" s="144"/>
      <c r="G22" s="97">
        <f t="shared" ref="G22:G23" si="0">+F22*828116</f>
        <v>0</v>
      </c>
      <c r="H22" s="161"/>
      <c r="I22" s="160"/>
    </row>
    <row r="23" spans="1:14" hidden="1" x14ac:dyDescent="0.25">
      <c r="A23" s="32"/>
      <c r="B23" s="2"/>
      <c r="C23" s="2"/>
      <c r="D23" s="2"/>
      <c r="E23" s="2"/>
      <c r="F23" s="144">
        <f t="shared" ref="F23" si="1">0*5%</f>
        <v>0</v>
      </c>
      <c r="G23" s="97">
        <f t="shared" si="0"/>
        <v>0</v>
      </c>
      <c r="H23" s="24"/>
      <c r="I23" s="132"/>
    </row>
    <row r="24" spans="1:14" x14ac:dyDescent="0.25">
      <c r="B24" s="154"/>
      <c r="C24" s="154"/>
      <c r="D24" s="156"/>
      <c r="E24" s="32" t="s">
        <v>35</v>
      </c>
      <c r="F24" s="25">
        <f>SUM(F19:F23)</f>
        <v>7445.1319999999996</v>
      </c>
      <c r="G24" s="40">
        <f>SUM(G19:G23)</f>
        <v>6165432931.3119993</v>
      </c>
      <c r="H24" s="26"/>
    </row>
    <row r="25" spans="1:14" x14ac:dyDescent="0.25">
      <c r="B25" s="34"/>
      <c r="D25" s="34"/>
      <c r="E25" s="42" t="s">
        <v>18</v>
      </c>
      <c r="F25" s="43"/>
      <c r="G25" s="44">
        <f>+G24/828116</f>
        <v>7445.1319999999996</v>
      </c>
      <c r="H25" s="41"/>
    </row>
    <row r="27" spans="1:14" ht="43.5" customHeight="1" x14ac:dyDescent="0.25">
      <c r="B27" s="305" t="s">
        <v>44</v>
      </c>
      <c r="C27" s="305"/>
      <c r="D27" s="305"/>
      <c r="E27" s="305"/>
      <c r="F27" s="305"/>
      <c r="G27" s="305"/>
      <c r="H27" s="306"/>
      <c r="I27" s="306"/>
      <c r="J27" s="306"/>
      <c r="K27" s="306"/>
      <c r="L27" s="306"/>
      <c r="M27" s="306"/>
      <c r="N27" s="306"/>
    </row>
    <row r="28" spans="1:14" ht="31.5" customHeight="1" x14ac:dyDescent="0.25">
      <c r="B28" s="307" t="s">
        <v>45</v>
      </c>
      <c r="C28" s="307"/>
      <c r="D28" s="307"/>
      <c r="E28" s="307"/>
      <c r="F28" s="307"/>
      <c r="G28" s="307"/>
      <c r="H28" s="308"/>
      <c r="I28" s="308"/>
      <c r="J28" s="308"/>
      <c r="K28" s="308"/>
      <c r="L28" s="308"/>
      <c r="M28" s="308"/>
      <c r="N28" s="308"/>
    </row>
    <row r="29" spans="1:14" ht="31.5" customHeight="1" x14ac:dyDescent="0.25">
      <c r="B29" s="307" t="s">
        <v>46</v>
      </c>
      <c r="C29" s="307"/>
      <c r="D29" s="307"/>
      <c r="E29" s="307"/>
      <c r="F29" s="307"/>
      <c r="G29" s="307"/>
      <c r="H29" s="309"/>
      <c r="I29" s="309"/>
      <c r="J29" s="309"/>
      <c r="K29" s="309"/>
      <c r="L29" s="309"/>
      <c r="M29" s="309"/>
      <c r="N29" s="309"/>
    </row>
    <row r="30" spans="1:14" ht="34.5" customHeight="1" x14ac:dyDescent="0.25">
      <c r="B30" s="307" t="s">
        <v>47</v>
      </c>
      <c r="C30" s="310"/>
      <c r="D30" s="310"/>
      <c r="E30" s="310"/>
      <c r="F30" s="310"/>
      <c r="G30" s="310"/>
      <c r="H30" s="309"/>
      <c r="I30" s="309"/>
      <c r="J30" s="309"/>
      <c r="K30" s="309"/>
      <c r="L30" s="309"/>
      <c r="M30" s="309"/>
      <c r="N30" s="309"/>
    </row>
    <row r="31" spans="1:14" ht="34.5" customHeight="1" x14ac:dyDescent="0.25">
      <c r="B31" s="307" t="s">
        <v>48</v>
      </c>
      <c r="C31" s="310"/>
      <c r="D31" s="310"/>
      <c r="E31" s="310"/>
      <c r="F31" s="310"/>
      <c r="G31" s="310"/>
      <c r="H31" s="309"/>
      <c r="I31" s="309"/>
      <c r="J31" s="309"/>
      <c r="K31" s="309"/>
      <c r="L31" s="309"/>
      <c r="M31" s="309"/>
      <c r="N31" s="309"/>
    </row>
    <row r="32" spans="1:14" x14ac:dyDescent="0.25">
      <c r="B32" s="27"/>
      <c r="G32" s="28"/>
    </row>
    <row r="35" spans="2:10" x14ac:dyDescent="0.25">
      <c r="B35" s="311" t="s">
        <v>49</v>
      </c>
      <c r="C35" s="311"/>
      <c r="D35" s="311"/>
    </row>
    <row r="36" spans="2:10" x14ac:dyDescent="0.25">
      <c r="B36" s="20"/>
    </row>
    <row r="41" spans="2:10" x14ac:dyDescent="0.25">
      <c r="H41" s="29"/>
      <c r="I41" s="30"/>
      <c r="J41" s="31"/>
    </row>
    <row r="42" spans="2:10" x14ac:dyDescent="0.25">
      <c r="H42" s="29"/>
      <c r="I42" s="30"/>
      <c r="J42" s="31"/>
    </row>
  </sheetData>
  <mergeCells count="19">
    <mergeCell ref="B2:I2"/>
    <mergeCell ref="B3:I3"/>
    <mergeCell ref="B4:I4"/>
    <mergeCell ref="E6:F6"/>
    <mergeCell ref="B7:B9"/>
    <mergeCell ref="E7:F8"/>
    <mergeCell ref="G7:G9"/>
    <mergeCell ref="E9:F9"/>
    <mergeCell ref="B27:G27"/>
    <mergeCell ref="H27:N27"/>
    <mergeCell ref="B28:G28"/>
    <mergeCell ref="H28:N28"/>
    <mergeCell ref="B29:G29"/>
    <mergeCell ref="H29:N29"/>
    <mergeCell ref="B30:G30"/>
    <mergeCell ref="H30:N30"/>
    <mergeCell ref="B31:G31"/>
    <mergeCell ref="H31:N31"/>
    <mergeCell ref="B35:D35"/>
  </mergeCells>
  <pageMargins left="0.7" right="0.7" top="0.75" bottom="0.75" header="0.3" footer="0.3"/>
  <pageSetup scale="37" orientation="portrait" r:id="rId1"/>
  <colBreaks count="1" manualBreakCount="1">
    <brk id="9" max="1048575" man="1"/>
  </colBreaks>
  <legacyDrawing r:id="rId2"/>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N42"/>
  <sheetViews>
    <sheetView view="pageBreakPreview" topLeftCell="A4" zoomScale="60" zoomScaleNormal="100" workbookViewId="0">
      <selection activeCell="E13" sqref="E13"/>
    </sheetView>
  </sheetViews>
  <sheetFormatPr baseColWidth="10" defaultRowHeight="15" x14ac:dyDescent="0.25"/>
  <cols>
    <col min="1" max="1" width="7.5703125" style="20" customWidth="1"/>
    <col min="2" max="2" width="25.5703125" style="22" customWidth="1"/>
    <col min="3" max="3" width="30" style="22" customWidth="1"/>
    <col min="4" max="4" width="18.7109375" style="20" customWidth="1"/>
    <col min="5" max="5" width="15.5703125" style="20" customWidth="1"/>
    <col min="6" max="6" width="25.140625" style="20" customWidth="1"/>
    <col min="7" max="7" width="26.7109375" style="20" customWidth="1"/>
    <col min="8" max="8" width="17.5703125" style="20" customWidth="1"/>
    <col min="9" max="9" width="76.42578125" style="20" customWidth="1"/>
    <col min="10" max="10" width="11.42578125" style="20"/>
    <col min="11" max="11" width="12.28515625" style="20" bestFit="1" customWidth="1"/>
    <col min="12" max="12" width="11.42578125" style="20"/>
    <col min="13" max="13" width="10.85546875" style="20" bestFit="1" customWidth="1"/>
    <col min="14" max="14" width="6.28515625" style="20" customWidth="1"/>
    <col min="15" max="16384" width="11.42578125" style="20"/>
  </cols>
  <sheetData>
    <row r="2" spans="2:9" ht="23.25" x14ac:dyDescent="0.25">
      <c r="B2" s="293" t="s">
        <v>26</v>
      </c>
      <c r="C2" s="293"/>
      <c r="D2" s="293"/>
      <c r="E2" s="293"/>
      <c r="F2" s="293"/>
      <c r="G2" s="293"/>
      <c r="H2" s="293"/>
      <c r="I2" s="293"/>
    </row>
    <row r="3" spans="2:9" ht="23.25" x14ac:dyDescent="0.25">
      <c r="B3" s="293" t="s">
        <v>37</v>
      </c>
      <c r="C3" s="293"/>
      <c r="D3" s="293"/>
      <c r="E3" s="293"/>
      <c r="F3" s="293"/>
      <c r="G3" s="293"/>
      <c r="H3" s="293"/>
      <c r="I3" s="293"/>
    </row>
    <row r="4" spans="2:9" ht="23.25" x14ac:dyDescent="0.25">
      <c r="B4" s="293" t="s">
        <v>27</v>
      </c>
      <c r="C4" s="293"/>
      <c r="D4" s="293"/>
      <c r="E4" s="293"/>
      <c r="F4" s="293"/>
      <c r="G4" s="293"/>
      <c r="H4" s="293"/>
      <c r="I4" s="293"/>
    </row>
    <row r="5" spans="2:9" ht="15.75" thickBot="1" x14ac:dyDescent="0.3"/>
    <row r="6" spans="2:9" ht="90" customHeight="1" x14ac:dyDescent="0.25">
      <c r="B6" s="151" t="s">
        <v>180</v>
      </c>
      <c r="C6" s="124" t="s">
        <v>277</v>
      </c>
      <c r="D6" s="66" t="s">
        <v>50</v>
      </c>
      <c r="E6" s="294" t="s">
        <v>52</v>
      </c>
      <c r="F6" s="295"/>
      <c r="G6" s="45" t="s">
        <v>0</v>
      </c>
      <c r="H6" s="109"/>
      <c r="I6" s="109"/>
    </row>
    <row r="7" spans="2:9" ht="34.5" customHeight="1" x14ac:dyDescent="0.25">
      <c r="B7" s="321" t="s">
        <v>328</v>
      </c>
      <c r="C7" s="67"/>
      <c r="D7" s="68"/>
      <c r="E7" s="336" t="s">
        <v>53</v>
      </c>
      <c r="F7" s="297"/>
      <c r="G7" s="333" t="s">
        <v>105</v>
      </c>
      <c r="H7" s="33"/>
      <c r="I7" s="34"/>
    </row>
    <row r="8" spans="2:9" ht="58.5" customHeight="1" x14ac:dyDescent="0.25">
      <c r="B8" s="322"/>
      <c r="C8" s="67"/>
      <c r="D8" s="68"/>
      <c r="E8" s="337"/>
      <c r="F8" s="338"/>
      <c r="G8" s="334"/>
      <c r="H8" s="35"/>
      <c r="I8" s="34"/>
    </row>
    <row r="9" spans="2:9" ht="39.75" customHeight="1" thickBot="1" x14ac:dyDescent="0.3">
      <c r="B9" s="323"/>
      <c r="C9" s="158"/>
      <c r="D9" s="125"/>
      <c r="E9" s="303" t="s">
        <v>51</v>
      </c>
      <c r="F9" s="304"/>
      <c r="G9" s="335"/>
      <c r="H9" s="35"/>
      <c r="I9" s="34"/>
    </row>
    <row r="11" spans="2:9" x14ac:dyDescent="0.25">
      <c r="B11" s="21" t="s">
        <v>28</v>
      </c>
      <c r="C11" s="32" t="s">
        <v>29</v>
      </c>
      <c r="D11" s="32" t="s">
        <v>18</v>
      </c>
      <c r="E11" s="32" t="s">
        <v>0</v>
      </c>
    </row>
    <row r="12" spans="2:9" x14ac:dyDescent="0.25">
      <c r="B12" s="36" t="s">
        <v>30</v>
      </c>
      <c r="C12" s="37">
        <v>5437884572</v>
      </c>
      <c r="D12" s="38">
        <f>+C12/828116</f>
        <v>6566.5734897043412</v>
      </c>
      <c r="E12" s="38"/>
    </row>
    <row r="13" spans="2:9" x14ac:dyDescent="0.25">
      <c r="B13" s="36" t="s">
        <v>38</v>
      </c>
      <c r="C13" s="37">
        <f>+C12*0.75</f>
        <v>4078413429</v>
      </c>
      <c r="D13" s="38">
        <f>+C13/828116</f>
        <v>4924.9301172782561</v>
      </c>
      <c r="E13" s="102" t="s">
        <v>0</v>
      </c>
    </row>
    <row r="14" spans="2:9" x14ac:dyDescent="0.25">
      <c r="B14" s="36" t="s">
        <v>39</v>
      </c>
      <c r="C14" s="37">
        <f>+C12*1.2</f>
        <v>6525461486.3999996</v>
      </c>
      <c r="D14" s="38">
        <f>+C14/828116</f>
        <v>7879.8881876452087</v>
      </c>
      <c r="E14" s="38"/>
    </row>
    <row r="15" spans="2:9" x14ac:dyDescent="0.25">
      <c r="B15" s="36" t="s">
        <v>40</v>
      </c>
      <c r="C15" s="37">
        <f>+C12*1.5</f>
        <v>8156826858</v>
      </c>
      <c r="D15" s="38">
        <f>+C15/828116</f>
        <v>9849.8602345565123</v>
      </c>
      <c r="E15" s="38"/>
    </row>
    <row r="17" spans="1:14" x14ac:dyDescent="0.25">
      <c r="B17" s="23" t="s">
        <v>31</v>
      </c>
      <c r="C17" s="23"/>
      <c r="D17" s="23"/>
    </row>
    <row r="18" spans="1:14" ht="30" x14ac:dyDescent="0.25">
      <c r="B18" s="32" t="s">
        <v>32</v>
      </c>
      <c r="C18" s="21" t="s">
        <v>33</v>
      </c>
      <c r="D18" s="32" t="s">
        <v>34</v>
      </c>
      <c r="E18" s="21" t="s">
        <v>54</v>
      </c>
      <c r="F18" s="21" t="s">
        <v>41</v>
      </c>
      <c r="G18" s="21" t="s">
        <v>42</v>
      </c>
      <c r="H18" s="21" t="s">
        <v>43</v>
      </c>
      <c r="I18" s="32" t="s">
        <v>17</v>
      </c>
    </row>
    <row r="19" spans="1:14" ht="30" x14ac:dyDescent="0.25">
      <c r="A19" s="32">
        <v>1</v>
      </c>
      <c r="B19" s="94" t="s">
        <v>329</v>
      </c>
      <c r="C19" s="93" t="s">
        <v>328</v>
      </c>
      <c r="D19" s="94">
        <v>37</v>
      </c>
      <c r="E19" s="94" t="s">
        <v>105</v>
      </c>
      <c r="F19" s="144">
        <f>4888.67*40%</f>
        <v>1955.4680000000001</v>
      </c>
      <c r="G19" s="97">
        <f>+F19*828116</f>
        <v>1619354338.2880001</v>
      </c>
      <c r="H19" s="98" t="s">
        <v>330</v>
      </c>
      <c r="I19" s="160"/>
    </row>
    <row r="20" spans="1:14" ht="30" x14ac:dyDescent="0.25">
      <c r="A20" s="32">
        <v>2</v>
      </c>
      <c r="B20" s="94" t="s">
        <v>331</v>
      </c>
      <c r="C20" s="93" t="s">
        <v>328</v>
      </c>
      <c r="D20" s="94">
        <v>33</v>
      </c>
      <c r="E20" s="94" t="s">
        <v>105</v>
      </c>
      <c r="F20" s="144">
        <f>14483.63*80%</f>
        <v>11586.904</v>
      </c>
      <c r="G20" s="97">
        <f>+F20*828116</f>
        <v>9595300592.8640003</v>
      </c>
      <c r="H20" s="98" t="s">
        <v>289</v>
      </c>
      <c r="I20" s="160"/>
    </row>
    <row r="21" spans="1:14" hidden="1" x14ac:dyDescent="0.25">
      <c r="A21" s="32">
        <v>3</v>
      </c>
      <c r="B21" s="94"/>
      <c r="C21" s="93"/>
      <c r="D21" s="94"/>
      <c r="E21" s="94"/>
      <c r="F21" s="144"/>
      <c r="G21" s="97"/>
      <c r="H21" s="98"/>
      <c r="I21" s="160"/>
    </row>
    <row r="22" spans="1:14" hidden="1" x14ac:dyDescent="0.25">
      <c r="A22" s="166">
        <v>4</v>
      </c>
      <c r="B22" s="94"/>
      <c r="C22" s="93"/>
      <c r="D22" s="94"/>
      <c r="E22" s="94"/>
      <c r="F22" s="144"/>
      <c r="G22" s="97"/>
      <c r="H22" s="161"/>
      <c r="I22" s="160"/>
    </row>
    <row r="23" spans="1:14" hidden="1" x14ac:dyDescent="0.25">
      <c r="A23" s="32"/>
      <c r="B23" s="2"/>
      <c r="C23" s="2"/>
      <c r="D23" s="2"/>
      <c r="E23" s="2"/>
      <c r="F23" s="144"/>
      <c r="G23" s="97"/>
      <c r="H23" s="24"/>
      <c r="I23" s="132"/>
    </row>
    <row r="24" spans="1:14" x14ac:dyDescent="0.25">
      <c r="B24" s="154"/>
      <c r="C24" s="154"/>
      <c r="D24" s="156"/>
      <c r="E24" s="32" t="s">
        <v>35</v>
      </c>
      <c r="F24" s="25">
        <f>SUM(F19:F23)</f>
        <v>13542.372000000001</v>
      </c>
      <c r="G24" s="40">
        <f>SUM(G19:G23)</f>
        <v>11214654931.152</v>
      </c>
      <c r="H24" s="26"/>
    </row>
    <row r="25" spans="1:14" x14ac:dyDescent="0.25">
      <c r="B25" s="34"/>
      <c r="D25" s="34"/>
      <c r="E25" s="42" t="s">
        <v>18</v>
      </c>
      <c r="F25" s="43"/>
      <c r="G25" s="44">
        <f>+G24/828116</f>
        <v>13542.372000000001</v>
      </c>
      <c r="H25" s="41"/>
    </row>
    <row r="27" spans="1:14" ht="43.5" customHeight="1" x14ac:dyDescent="0.25">
      <c r="B27" s="305" t="s">
        <v>44</v>
      </c>
      <c r="C27" s="305"/>
      <c r="D27" s="305"/>
      <c r="E27" s="305"/>
      <c r="F27" s="305"/>
      <c r="G27" s="305"/>
      <c r="H27" s="306"/>
      <c r="I27" s="306"/>
      <c r="J27" s="306"/>
      <c r="K27" s="306"/>
      <c r="L27" s="306"/>
      <c r="M27" s="306"/>
      <c r="N27" s="306"/>
    </row>
    <row r="28" spans="1:14" ht="31.5" customHeight="1" x14ac:dyDescent="0.25">
      <c r="B28" s="307" t="s">
        <v>45</v>
      </c>
      <c r="C28" s="307"/>
      <c r="D28" s="307"/>
      <c r="E28" s="307"/>
      <c r="F28" s="307"/>
      <c r="G28" s="307"/>
      <c r="H28" s="308"/>
      <c r="I28" s="308"/>
      <c r="J28" s="308"/>
      <c r="K28" s="308"/>
      <c r="L28" s="308"/>
      <c r="M28" s="308"/>
      <c r="N28" s="308"/>
    </row>
    <row r="29" spans="1:14" ht="31.5" customHeight="1" x14ac:dyDescent="0.25">
      <c r="B29" s="307" t="s">
        <v>46</v>
      </c>
      <c r="C29" s="307"/>
      <c r="D29" s="307"/>
      <c r="E29" s="307"/>
      <c r="F29" s="307"/>
      <c r="G29" s="307"/>
      <c r="H29" s="309"/>
      <c r="I29" s="309"/>
      <c r="J29" s="309"/>
      <c r="K29" s="309"/>
      <c r="L29" s="309"/>
      <c r="M29" s="309"/>
      <c r="N29" s="309"/>
    </row>
    <row r="30" spans="1:14" ht="34.5" customHeight="1" x14ac:dyDescent="0.25">
      <c r="B30" s="307" t="s">
        <v>47</v>
      </c>
      <c r="C30" s="310"/>
      <c r="D30" s="310"/>
      <c r="E30" s="310"/>
      <c r="F30" s="310"/>
      <c r="G30" s="310"/>
      <c r="H30" s="309"/>
      <c r="I30" s="309"/>
      <c r="J30" s="309"/>
      <c r="K30" s="309"/>
      <c r="L30" s="309"/>
      <c r="M30" s="309"/>
      <c r="N30" s="309"/>
    </row>
    <row r="31" spans="1:14" ht="34.5" customHeight="1" x14ac:dyDescent="0.25">
      <c r="B31" s="307" t="s">
        <v>48</v>
      </c>
      <c r="C31" s="310"/>
      <c r="D31" s="310"/>
      <c r="E31" s="310"/>
      <c r="F31" s="310"/>
      <c r="G31" s="310"/>
      <c r="H31" s="309"/>
      <c r="I31" s="309"/>
      <c r="J31" s="309"/>
      <c r="K31" s="309"/>
      <c r="L31" s="309"/>
      <c r="M31" s="309"/>
      <c r="N31" s="309"/>
    </row>
    <row r="32" spans="1:14" x14ac:dyDescent="0.25">
      <c r="B32" s="27"/>
      <c r="G32" s="28"/>
    </row>
    <row r="35" spans="2:10" x14ac:dyDescent="0.25">
      <c r="B35" s="311" t="s">
        <v>49</v>
      </c>
      <c r="C35" s="311"/>
      <c r="D35" s="311"/>
    </row>
    <row r="36" spans="2:10" x14ac:dyDescent="0.25">
      <c r="B36" s="20"/>
    </row>
    <row r="41" spans="2:10" x14ac:dyDescent="0.25">
      <c r="H41" s="29"/>
      <c r="I41" s="30"/>
      <c r="J41" s="31"/>
    </row>
    <row r="42" spans="2:10" x14ac:dyDescent="0.25">
      <c r="H42" s="29"/>
      <c r="I42" s="30"/>
      <c r="J42" s="31"/>
    </row>
  </sheetData>
  <mergeCells count="19">
    <mergeCell ref="B2:I2"/>
    <mergeCell ref="B3:I3"/>
    <mergeCell ref="B4:I4"/>
    <mergeCell ref="E6:F6"/>
    <mergeCell ref="B7:B9"/>
    <mergeCell ref="E7:F8"/>
    <mergeCell ref="G7:G9"/>
    <mergeCell ref="E9:F9"/>
    <mergeCell ref="B27:G27"/>
    <mergeCell ref="H27:N27"/>
    <mergeCell ref="B28:G28"/>
    <mergeCell ref="H28:N28"/>
    <mergeCell ref="B29:G29"/>
    <mergeCell ref="H29:N29"/>
    <mergeCell ref="B30:G30"/>
    <mergeCell ref="H30:N30"/>
    <mergeCell ref="B31:G31"/>
    <mergeCell ref="H31:N31"/>
    <mergeCell ref="B35:D35"/>
  </mergeCells>
  <pageMargins left="0.7" right="0.7" top="0.75" bottom="0.75" header="0.3" footer="0.3"/>
  <pageSetup scale="37" orientation="portrait" r:id="rId1"/>
  <colBreaks count="1" manualBreakCount="1">
    <brk id="9" max="1048575" man="1"/>
  </colBreaks>
  <legacyDrawing r:id="rId2"/>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N43"/>
  <sheetViews>
    <sheetView view="pageBreakPreview" topLeftCell="A9" zoomScale="60" zoomScaleNormal="100" workbookViewId="0">
      <selection activeCell="E14" sqref="E14"/>
    </sheetView>
  </sheetViews>
  <sheetFormatPr baseColWidth="10" defaultRowHeight="15" x14ac:dyDescent="0.25"/>
  <cols>
    <col min="1" max="1" width="7.5703125" style="20" customWidth="1"/>
    <col min="2" max="2" width="25.5703125" style="22" customWidth="1"/>
    <col min="3" max="3" width="30" style="22" customWidth="1"/>
    <col min="4" max="4" width="18.7109375" style="20" customWidth="1"/>
    <col min="5" max="5" width="15.5703125" style="20" customWidth="1"/>
    <col min="6" max="6" width="25.140625" style="20" customWidth="1"/>
    <col min="7" max="7" width="26.7109375" style="20" customWidth="1"/>
    <col min="8" max="8" width="17.5703125" style="20" customWidth="1"/>
    <col min="9" max="9" width="76.42578125" style="20" customWidth="1"/>
    <col min="10" max="10" width="11.42578125" style="20"/>
    <col min="11" max="11" width="12.28515625" style="20" bestFit="1" customWidth="1"/>
    <col min="12" max="12" width="11.42578125" style="20"/>
    <col min="13" max="13" width="10.85546875" style="20" bestFit="1" customWidth="1"/>
    <col min="14" max="14" width="6.28515625" style="20" customWidth="1"/>
    <col min="15" max="16384" width="11.42578125" style="20"/>
  </cols>
  <sheetData>
    <row r="2" spans="2:9" ht="23.25" x14ac:dyDescent="0.25">
      <c r="B2" s="293" t="s">
        <v>26</v>
      </c>
      <c r="C2" s="293"/>
      <c r="D2" s="293"/>
      <c r="E2" s="293"/>
      <c r="F2" s="293"/>
      <c r="G2" s="293"/>
      <c r="H2" s="293"/>
      <c r="I2" s="293"/>
    </row>
    <row r="3" spans="2:9" ht="23.25" x14ac:dyDescent="0.25">
      <c r="B3" s="293" t="s">
        <v>37</v>
      </c>
      <c r="C3" s="293"/>
      <c r="D3" s="293"/>
      <c r="E3" s="293"/>
      <c r="F3" s="293"/>
      <c r="G3" s="293"/>
      <c r="H3" s="293"/>
      <c r="I3" s="293"/>
    </row>
    <row r="4" spans="2:9" ht="23.25" x14ac:dyDescent="0.25">
      <c r="B4" s="293" t="s">
        <v>27</v>
      </c>
      <c r="C4" s="293"/>
      <c r="D4" s="293"/>
      <c r="E4" s="293"/>
      <c r="F4" s="293"/>
      <c r="G4" s="293"/>
      <c r="H4" s="293"/>
      <c r="I4" s="293"/>
    </row>
    <row r="5" spans="2:9" ht="15.75" thickBot="1" x14ac:dyDescent="0.3"/>
    <row r="6" spans="2:9" ht="90" customHeight="1" x14ac:dyDescent="0.25">
      <c r="B6" s="151" t="s">
        <v>180</v>
      </c>
      <c r="C6" s="124" t="s">
        <v>277</v>
      </c>
      <c r="D6" s="66" t="s">
        <v>50</v>
      </c>
      <c r="E6" s="294" t="s">
        <v>52</v>
      </c>
      <c r="F6" s="295"/>
      <c r="G6" s="45" t="s">
        <v>0</v>
      </c>
      <c r="H6" s="109"/>
      <c r="I6" s="109"/>
    </row>
    <row r="7" spans="2:9" ht="34.5" customHeight="1" x14ac:dyDescent="0.25">
      <c r="B7" s="321" t="s">
        <v>332</v>
      </c>
      <c r="C7" s="67" t="s">
        <v>333</v>
      </c>
      <c r="D7" s="68">
        <v>0.45</v>
      </c>
      <c r="E7" s="336" t="s">
        <v>53</v>
      </c>
      <c r="F7" s="297"/>
      <c r="G7" s="333" t="s">
        <v>240</v>
      </c>
      <c r="H7" s="33"/>
      <c r="I7" s="34"/>
    </row>
    <row r="8" spans="2:9" ht="58.5" customHeight="1" x14ac:dyDescent="0.25">
      <c r="B8" s="322"/>
      <c r="C8" s="67" t="s">
        <v>334</v>
      </c>
      <c r="D8" s="68">
        <v>0.5</v>
      </c>
      <c r="E8" s="337"/>
      <c r="F8" s="338"/>
      <c r="G8" s="334"/>
      <c r="H8" s="35"/>
      <c r="I8" s="34"/>
    </row>
    <row r="9" spans="2:9" ht="58.5" customHeight="1" x14ac:dyDescent="0.25">
      <c r="B9" s="322"/>
      <c r="C9" s="67" t="s">
        <v>335</v>
      </c>
      <c r="D9" s="157">
        <v>0.05</v>
      </c>
      <c r="E9" s="339"/>
      <c r="F9" s="299"/>
      <c r="G9" s="334"/>
      <c r="H9" s="35"/>
      <c r="I9" s="34"/>
    </row>
    <row r="10" spans="2:9" ht="39.75" customHeight="1" thickBot="1" x14ac:dyDescent="0.3">
      <c r="B10" s="323"/>
      <c r="C10" s="167"/>
      <c r="D10" s="125"/>
      <c r="E10" s="303" t="s">
        <v>51</v>
      </c>
      <c r="F10" s="304"/>
      <c r="G10" s="335"/>
      <c r="H10" s="35"/>
      <c r="I10" s="34"/>
    </row>
    <row r="12" spans="2:9" x14ac:dyDescent="0.25">
      <c r="B12" s="21" t="s">
        <v>28</v>
      </c>
      <c r="C12" s="32" t="s">
        <v>29</v>
      </c>
      <c r="D12" s="32" t="s">
        <v>18</v>
      </c>
      <c r="E12" s="32" t="s">
        <v>0</v>
      </c>
    </row>
    <row r="13" spans="2:9" x14ac:dyDescent="0.25">
      <c r="B13" s="36" t="s">
        <v>30</v>
      </c>
      <c r="C13" s="37">
        <v>5437884572</v>
      </c>
      <c r="D13" s="38">
        <f>+C13/828116</f>
        <v>6566.5734897043412</v>
      </c>
      <c r="E13" s="38"/>
    </row>
    <row r="14" spans="2:9" x14ac:dyDescent="0.25">
      <c r="B14" s="36" t="s">
        <v>38</v>
      </c>
      <c r="C14" s="37">
        <f>+C13*0.75</f>
        <v>4078413429</v>
      </c>
      <c r="D14" s="38">
        <f>+C14/828116</f>
        <v>4924.9301172782561</v>
      </c>
      <c r="E14" s="102" t="s">
        <v>240</v>
      </c>
    </row>
    <row r="15" spans="2:9" x14ac:dyDescent="0.25">
      <c r="B15" s="36" t="s">
        <v>39</v>
      </c>
      <c r="C15" s="37">
        <f>+C13*1.2</f>
        <v>6525461486.3999996</v>
      </c>
      <c r="D15" s="38">
        <f>+C15/828116</f>
        <v>7879.8881876452087</v>
      </c>
      <c r="E15" s="38"/>
    </row>
    <row r="16" spans="2:9" x14ac:dyDescent="0.25">
      <c r="B16" s="36" t="s">
        <v>40</v>
      </c>
      <c r="C16" s="37">
        <f>+C13*1.5</f>
        <v>8156826858</v>
      </c>
      <c r="D16" s="38">
        <f>+C16/828116</f>
        <v>9849.8602345565123</v>
      </c>
      <c r="E16" s="38"/>
    </row>
    <row r="18" spans="1:14" x14ac:dyDescent="0.25">
      <c r="B18" s="23" t="s">
        <v>31</v>
      </c>
      <c r="C18" s="23"/>
      <c r="D18" s="23"/>
    </row>
    <row r="19" spans="1:14" ht="30" x14ac:dyDescent="0.25">
      <c r="B19" s="32" t="s">
        <v>32</v>
      </c>
      <c r="C19" s="21" t="s">
        <v>33</v>
      </c>
      <c r="D19" s="32" t="s">
        <v>34</v>
      </c>
      <c r="E19" s="21" t="s">
        <v>54</v>
      </c>
      <c r="F19" s="21" t="s">
        <v>41</v>
      </c>
      <c r="G19" s="21" t="s">
        <v>42</v>
      </c>
      <c r="H19" s="21" t="s">
        <v>43</v>
      </c>
      <c r="I19" s="32" t="s">
        <v>17</v>
      </c>
    </row>
    <row r="20" spans="1:14" ht="84" x14ac:dyDescent="0.25">
      <c r="A20" s="32">
        <v>1</v>
      </c>
      <c r="B20" s="93" t="s">
        <v>336</v>
      </c>
      <c r="C20" s="93" t="s">
        <v>337</v>
      </c>
      <c r="D20" s="94">
        <v>73</v>
      </c>
      <c r="E20" s="168" t="s">
        <v>240</v>
      </c>
      <c r="F20" s="144">
        <f>12360.19*75%</f>
        <v>9270.1424999999999</v>
      </c>
      <c r="G20" s="97">
        <f>+F20*828116</f>
        <v>7676753326.5299997</v>
      </c>
      <c r="H20" s="98"/>
      <c r="I20" s="160" t="s">
        <v>338</v>
      </c>
    </row>
    <row r="21" spans="1:14" ht="84" x14ac:dyDescent="0.25">
      <c r="A21" s="32">
        <v>2</v>
      </c>
      <c r="B21" s="93" t="s">
        <v>339</v>
      </c>
      <c r="C21" s="93" t="s">
        <v>337</v>
      </c>
      <c r="D21" s="94">
        <v>99</v>
      </c>
      <c r="E21" s="168" t="s">
        <v>240</v>
      </c>
      <c r="F21" s="144">
        <f>10339.49*50%</f>
        <v>5169.7449999999999</v>
      </c>
      <c r="G21" s="97">
        <f>+F21*828116</f>
        <v>4281148550.4200001</v>
      </c>
      <c r="H21" s="98"/>
      <c r="I21" s="160" t="s">
        <v>338</v>
      </c>
    </row>
    <row r="22" spans="1:14" ht="120" x14ac:dyDescent="0.25">
      <c r="A22" s="32">
        <v>3</v>
      </c>
      <c r="B22" s="94" t="s">
        <v>340</v>
      </c>
      <c r="C22" s="93" t="s">
        <v>337</v>
      </c>
      <c r="D22" s="94">
        <v>89</v>
      </c>
      <c r="E22" s="94" t="s">
        <v>105</v>
      </c>
      <c r="F22" s="144">
        <f>8803.6*33%</f>
        <v>2905.1880000000001</v>
      </c>
      <c r="G22" s="97">
        <f t="shared" ref="G22:G24" si="0">+F22*828116</f>
        <v>2405832665.8080001</v>
      </c>
      <c r="H22" s="98" t="s">
        <v>341</v>
      </c>
      <c r="I22" s="160"/>
    </row>
    <row r="23" spans="1:14" ht="84" x14ac:dyDescent="0.25">
      <c r="A23" s="32">
        <v>4</v>
      </c>
      <c r="B23" s="93" t="s">
        <v>342</v>
      </c>
      <c r="C23" s="93" t="s">
        <v>337</v>
      </c>
      <c r="D23" s="94">
        <v>33</v>
      </c>
      <c r="E23" s="168" t="s">
        <v>240</v>
      </c>
      <c r="F23" s="144">
        <f>2398.69*100%</f>
        <v>2398.69</v>
      </c>
      <c r="G23" s="97">
        <f t="shared" si="0"/>
        <v>1986393568.04</v>
      </c>
      <c r="H23" s="161"/>
      <c r="I23" s="160" t="s">
        <v>338</v>
      </c>
    </row>
    <row r="24" spans="1:14" x14ac:dyDescent="0.25">
      <c r="A24" s="32"/>
      <c r="B24" s="2"/>
      <c r="C24" s="2"/>
      <c r="D24" s="2"/>
      <c r="E24" s="2"/>
      <c r="F24" s="144">
        <f t="shared" ref="F24" si="1">10339.49*50%</f>
        <v>5169.7449999999999</v>
      </c>
      <c r="G24" s="97">
        <f t="shared" si="0"/>
        <v>4281148550.4200001</v>
      </c>
      <c r="H24" s="24"/>
      <c r="I24" s="132"/>
    </row>
    <row r="25" spans="1:14" x14ac:dyDescent="0.25">
      <c r="B25" s="154"/>
      <c r="C25" s="154"/>
      <c r="D25" s="156"/>
      <c r="E25" s="32" t="s">
        <v>35</v>
      </c>
      <c r="F25" s="25">
        <f>SUM(F20:F24)</f>
        <v>24913.510499999997</v>
      </c>
      <c r="G25" s="40">
        <f>SUM(G20:G24)</f>
        <v>20631276661.218002</v>
      </c>
      <c r="H25" s="26"/>
    </row>
    <row r="26" spans="1:14" x14ac:dyDescent="0.25">
      <c r="B26" s="34"/>
      <c r="D26" s="34"/>
      <c r="E26" s="42" t="s">
        <v>18</v>
      </c>
      <c r="F26" s="43"/>
      <c r="G26" s="44">
        <f>+G25/828116</f>
        <v>24913.510500000004</v>
      </c>
      <c r="H26" s="41"/>
    </row>
    <row r="28" spans="1:14" ht="43.5" customHeight="1" x14ac:dyDescent="0.25">
      <c r="B28" s="305" t="s">
        <v>44</v>
      </c>
      <c r="C28" s="305"/>
      <c r="D28" s="305"/>
      <c r="E28" s="305"/>
      <c r="F28" s="305"/>
      <c r="G28" s="305"/>
      <c r="H28" s="306"/>
      <c r="I28" s="306"/>
      <c r="J28" s="306"/>
      <c r="K28" s="306"/>
      <c r="L28" s="306"/>
      <c r="M28" s="306"/>
      <c r="N28" s="306"/>
    </row>
    <row r="29" spans="1:14" ht="31.5" customHeight="1" x14ac:dyDescent="0.25">
      <c r="B29" s="307" t="s">
        <v>45</v>
      </c>
      <c r="C29" s="307"/>
      <c r="D29" s="307"/>
      <c r="E29" s="307"/>
      <c r="F29" s="307"/>
      <c r="G29" s="307"/>
      <c r="H29" s="308"/>
      <c r="I29" s="308"/>
      <c r="J29" s="308"/>
      <c r="K29" s="308"/>
      <c r="L29" s="308"/>
      <c r="M29" s="308"/>
      <c r="N29" s="308"/>
    </row>
    <row r="30" spans="1:14" ht="31.5" customHeight="1" x14ac:dyDescent="0.25">
      <c r="B30" s="307" t="s">
        <v>46</v>
      </c>
      <c r="C30" s="307"/>
      <c r="D30" s="307"/>
      <c r="E30" s="307"/>
      <c r="F30" s="307"/>
      <c r="G30" s="307"/>
      <c r="H30" s="309"/>
      <c r="I30" s="309"/>
      <c r="J30" s="309"/>
      <c r="K30" s="309"/>
      <c r="L30" s="309"/>
      <c r="M30" s="309"/>
      <c r="N30" s="309"/>
    </row>
    <row r="31" spans="1:14" ht="34.5" customHeight="1" x14ac:dyDescent="0.25">
      <c r="B31" s="307" t="s">
        <v>47</v>
      </c>
      <c r="C31" s="310"/>
      <c r="D31" s="310"/>
      <c r="E31" s="310"/>
      <c r="F31" s="310"/>
      <c r="G31" s="310"/>
      <c r="H31" s="309"/>
      <c r="I31" s="309"/>
      <c r="J31" s="309"/>
      <c r="K31" s="309"/>
      <c r="L31" s="309"/>
      <c r="M31" s="309"/>
      <c r="N31" s="309"/>
    </row>
    <row r="32" spans="1:14" ht="34.5" customHeight="1" x14ac:dyDescent="0.25">
      <c r="B32" s="307" t="s">
        <v>48</v>
      </c>
      <c r="C32" s="310"/>
      <c r="D32" s="310"/>
      <c r="E32" s="310"/>
      <c r="F32" s="310"/>
      <c r="G32" s="310"/>
      <c r="H32" s="309"/>
      <c r="I32" s="309"/>
      <c r="J32" s="309"/>
      <c r="K32" s="309"/>
      <c r="L32" s="309"/>
      <c r="M32" s="309"/>
      <c r="N32" s="309"/>
    </row>
    <row r="33" spans="2:10" x14ac:dyDescent="0.25">
      <c r="B33" s="27"/>
      <c r="G33" s="28"/>
    </row>
    <row r="36" spans="2:10" x14ac:dyDescent="0.25">
      <c r="B36" s="311" t="s">
        <v>49</v>
      </c>
      <c r="C36" s="311"/>
      <c r="D36" s="311"/>
    </row>
    <row r="37" spans="2:10" x14ac:dyDescent="0.25">
      <c r="B37" s="20"/>
    </row>
    <row r="42" spans="2:10" x14ac:dyDescent="0.25">
      <c r="H42" s="29"/>
      <c r="I42" s="30"/>
      <c r="J42" s="31"/>
    </row>
    <row r="43" spans="2:10" x14ac:dyDescent="0.25">
      <c r="H43" s="29"/>
      <c r="I43" s="30"/>
      <c r="J43" s="31"/>
    </row>
  </sheetData>
  <mergeCells count="19">
    <mergeCell ref="B2:I2"/>
    <mergeCell ref="B3:I3"/>
    <mergeCell ref="B4:I4"/>
    <mergeCell ref="E6:F6"/>
    <mergeCell ref="B7:B10"/>
    <mergeCell ref="E7:F9"/>
    <mergeCell ref="G7:G10"/>
    <mergeCell ref="E10:F10"/>
    <mergeCell ref="B28:G28"/>
    <mergeCell ref="H28:N28"/>
    <mergeCell ref="B29:G29"/>
    <mergeCell ref="H29:N29"/>
    <mergeCell ref="B30:G30"/>
    <mergeCell ref="H30:N30"/>
    <mergeCell ref="B31:G31"/>
    <mergeCell ref="H31:N31"/>
    <mergeCell ref="B32:G32"/>
    <mergeCell ref="H32:N32"/>
    <mergeCell ref="B36:D36"/>
  </mergeCells>
  <pageMargins left="0.7" right="0.7" top="0.75" bottom="0.75" header="0.3" footer="0.3"/>
  <pageSetup scale="37" orientation="portrait" r:id="rId1"/>
  <colBreaks count="1" manualBreakCount="1">
    <brk id="9" max="1048575" man="1"/>
  </colBreaks>
  <legacyDrawing r:id="rId2"/>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N42"/>
  <sheetViews>
    <sheetView view="pageBreakPreview" topLeftCell="A11" zoomScale="60" zoomScaleNormal="85" workbookViewId="0">
      <selection activeCell="E14" sqref="E14"/>
    </sheetView>
  </sheetViews>
  <sheetFormatPr baseColWidth="10" defaultRowHeight="15" x14ac:dyDescent="0.25"/>
  <cols>
    <col min="1" max="1" width="7.5703125" style="20" customWidth="1"/>
    <col min="2" max="2" width="25.5703125" style="22" customWidth="1"/>
    <col min="3" max="3" width="30" style="22" customWidth="1"/>
    <col min="4" max="4" width="18.7109375" style="20" customWidth="1"/>
    <col min="5" max="5" width="15.5703125" style="20" customWidth="1"/>
    <col min="6" max="6" width="25.140625" style="20" customWidth="1"/>
    <col min="7" max="7" width="26.7109375" style="20" customWidth="1"/>
    <col min="8" max="8" width="17.5703125" style="20" customWidth="1"/>
    <col min="9" max="9" width="76.42578125" style="20" customWidth="1"/>
    <col min="10" max="10" width="11.42578125" style="20"/>
    <col min="11" max="11" width="12.28515625" style="20" bestFit="1" customWidth="1"/>
    <col min="12" max="12" width="11.42578125" style="20"/>
    <col min="13" max="13" width="10.85546875" style="20" bestFit="1" customWidth="1"/>
    <col min="14" max="14" width="6.28515625" style="20" customWidth="1"/>
    <col min="15" max="16384" width="11.42578125" style="20"/>
  </cols>
  <sheetData>
    <row r="2" spans="2:9" ht="23.25" x14ac:dyDescent="0.25">
      <c r="B2" s="293" t="s">
        <v>26</v>
      </c>
      <c r="C2" s="293"/>
      <c r="D2" s="293"/>
      <c r="E2" s="293"/>
      <c r="F2" s="293"/>
      <c r="G2" s="293"/>
      <c r="H2" s="293"/>
      <c r="I2" s="293"/>
    </row>
    <row r="3" spans="2:9" ht="23.25" x14ac:dyDescent="0.25">
      <c r="B3" s="293" t="s">
        <v>37</v>
      </c>
      <c r="C3" s="293"/>
      <c r="D3" s="293"/>
      <c r="E3" s="293"/>
      <c r="F3" s="293"/>
      <c r="G3" s="293"/>
      <c r="H3" s="293"/>
      <c r="I3" s="293"/>
    </row>
    <row r="4" spans="2:9" ht="23.25" x14ac:dyDescent="0.25">
      <c r="B4" s="293" t="s">
        <v>27</v>
      </c>
      <c r="C4" s="293"/>
      <c r="D4" s="293"/>
      <c r="E4" s="293"/>
      <c r="F4" s="293"/>
      <c r="G4" s="293"/>
      <c r="H4" s="293"/>
      <c r="I4" s="293"/>
    </row>
    <row r="5" spans="2:9" ht="15.75" thickBot="1" x14ac:dyDescent="0.3"/>
    <row r="6" spans="2:9" ht="90" customHeight="1" x14ac:dyDescent="0.25">
      <c r="B6" s="151" t="s">
        <v>180</v>
      </c>
      <c r="C6" s="124" t="s">
        <v>277</v>
      </c>
      <c r="D6" s="66" t="s">
        <v>50</v>
      </c>
      <c r="E6" s="294" t="s">
        <v>52</v>
      </c>
      <c r="F6" s="295"/>
      <c r="G6" s="45" t="s">
        <v>0</v>
      </c>
      <c r="H6" s="109"/>
      <c r="I6" s="109"/>
    </row>
    <row r="7" spans="2:9" ht="34.5" customHeight="1" x14ac:dyDescent="0.25">
      <c r="B7" s="321" t="s">
        <v>343</v>
      </c>
      <c r="C7" s="67" t="s">
        <v>344</v>
      </c>
      <c r="D7" s="68">
        <v>0.75</v>
      </c>
      <c r="E7" s="336" t="s">
        <v>53</v>
      </c>
      <c r="F7" s="297"/>
      <c r="G7" s="333" t="s">
        <v>105</v>
      </c>
      <c r="H7" s="33"/>
      <c r="I7" s="34"/>
    </row>
    <row r="8" spans="2:9" ht="58.5" customHeight="1" x14ac:dyDescent="0.25">
      <c r="B8" s="322"/>
      <c r="C8" s="67" t="s">
        <v>345</v>
      </c>
      <c r="D8" s="68">
        <v>0.25</v>
      </c>
      <c r="E8" s="337"/>
      <c r="F8" s="338"/>
      <c r="G8" s="334"/>
      <c r="H8" s="35"/>
      <c r="I8" s="34"/>
    </row>
    <row r="9" spans="2:9" ht="39.75" customHeight="1" thickBot="1" x14ac:dyDescent="0.3">
      <c r="B9" s="323"/>
      <c r="C9" s="158"/>
      <c r="D9" s="125"/>
      <c r="E9" s="303" t="s">
        <v>51</v>
      </c>
      <c r="F9" s="304"/>
      <c r="G9" s="335"/>
      <c r="H9" s="35"/>
      <c r="I9" s="34"/>
    </row>
    <row r="11" spans="2:9" x14ac:dyDescent="0.25">
      <c r="B11" s="21" t="s">
        <v>28</v>
      </c>
      <c r="C11" s="32" t="s">
        <v>29</v>
      </c>
      <c r="D11" s="32" t="s">
        <v>18</v>
      </c>
      <c r="E11" s="32" t="s">
        <v>0</v>
      </c>
    </row>
    <row r="12" spans="2:9" x14ac:dyDescent="0.25">
      <c r="B12" s="36" t="s">
        <v>30</v>
      </c>
      <c r="C12" s="37">
        <v>5437884572</v>
      </c>
      <c r="D12" s="38">
        <f>+C12/828116</f>
        <v>6566.5734897043412</v>
      </c>
      <c r="E12" s="38"/>
    </row>
    <row r="13" spans="2:9" x14ac:dyDescent="0.25">
      <c r="B13" s="36" t="s">
        <v>38</v>
      </c>
      <c r="C13" s="37">
        <f>+C12*0.75</f>
        <v>4078413429</v>
      </c>
      <c r="D13" s="38">
        <f>+C13/828116</f>
        <v>4924.9301172782561</v>
      </c>
      <c r="E13" s="38"/>
    </row>
    <row r="14" spans="2:9" x14ac:dyDescent="0.25">
      <c r="B14" s="36" t="s">
        <v>39</v>
      </c>
      <c r="C14" s="37">
        <f>+C12*1.2</f>
        <v>6525461486.3999996</v>
      </c>
      <c r="D14" s="38">
        <f>+C14/828116</f>
        <v>7879.8881876452087</v>
      </c>
      <c r="E14" s="102" t="s">
        <v>192</v>
      </c>
    </row>
    <row r="15" spans="2:9" x14ac:dyDescent="0.25">
      <c r="B15" s="36" t="s">
        <v>40</v>
      </c>
      <c r="C15" s="37">
        <f>+C12*1.5</f>
        <v>8156826858</v>
      </c>
      <c r="D15" s="38">
        <f>+C15/828116</f>
        <v>9849.8602345565123</v>
      </c>
      <c r="E15" s="38"/>
    </row>
    <row r="17" spans="1:14" x14ac:dyDescent="0.25">
      <c r="B17" s="23" t="s">
        <v>31</v>
      </c>
      <c r="C17" s="23"/>
      <c r="D17" s="23"/>
    </row>
    <row r="18" spans="1:14" ht="30" x14ac:dyDescent="0.25">
      <c r="B18" s="32" t="s">
        <v>32</v>
      </c>
      <c r="C18" s="21" t="s">
        <v>33</v>
      </c>
      <c r="D18" s="32" t="s">
        <v>34</v>
      </c>
      <c r="E18" s="21" t="s">
        <v>54</v>
      </c>
      <c r="F18" s="21" t="s">
        <v>41</v>
      </c>
      <c r="G18" s="21" t="s">
        <v>42</v>
      </c>
      <c r="H18" s="21" t="s">
        <v>43</v>
      </c>
      <c r="I18" s="32" t="s">
        <v>17</v>
      </c>
    </row>
    <row r="19" spans="1:14" ht="120" x14ac:dyDescent="0.25">
      <c r="A19" s="32">
        <v>1</v>
      </c>
      <c r="B19" s="94" t="s">
        <v>346</v>
      </c>
      <c r="C19" s="93" t="s">
        <v>347</v>
      </c>
      <c r="D19" s="94">
        <v>91</v>
      </c>
      <c r="E19" s="94" t="s">
        <v>105</v>
      </c>
      <c r="F19" s="144">
        <f>3367.15*95%</f>
        <v>3198.7925</v>
      </c>
      <c r="G19" s="97">
        <f>+F19*828116</f>
        <v>2648971249.9299998</v>
      </c>
      <c r="H19" s="98" t="s">
        <v>348</v>
      </c>
      <c r="I19" s="160"/>
    </row>
    <row r="20" spans="1:14" ht="105" x14ac:dyDescent="0.25">
      <c r="A20" s="32">
        <v>2</v>
      </c>
      <c r="B20" s="94" t="s">
        <v>349</v>
      </c>
      <c r="C20" s="93" t="s">
        <v>347</v>
      </c>
      <c r="D20" s="94">
        <v>92</v>
      </c>
      <c r="E20" s="94" t="s">
        <v>105</v>
      </c>
      <c r="F20" s="144">
        <f>7613.97*95%</f>
        <v>7233.2714999999998</v>
      </c>
      <c r="G20" s="97">
        <f t="shared" ref="G20:G22" si="0">+F20*828116</f>
        <v>5989987861.4939995</v>
      </c>
      <c r="H20" s="98" t="s">
        <v>350</v>
      </c>
      <c r="I20" s="160"/>
    </row>
    <row r="21" spans="1:14" ht="120" x14ac:dyDescent="0.25">
      <c r="A21" s="32">
        <v>3</v>
      </c>
      <c r="B21" s="93" t="s">
        <v>351</v>
      </c>
      <c r="C21" s="93" t="s">
        <v>347</v>
      </c>
      <c r="D21" s="94">
        <v>90</v>
      </c>
      <c r="E21" s="94" t="s">
        <v>105</v>
      </c>
      <c r="F21" s="144">
        <f>3569.4*95%</f>
        <v>3390.93</v>
      </c>
      <c r="G21" s="97">
        <f t="shared" si="0"/>
        <v>2808083387.8799996</v>
      </c>
      <c r="H21" s="98" t="s">
        <v>352</v>
      </c>
      <c r="I21" s="160"/>
    </row>
    <row r="22" spans="1:14" ht="105" x14ac:dyDescent="0.25">
      <c r="A22" s="32">
        <v>4</v>
      </c>
      <c r="B22" s="93" t="s">
        <v>353</v>
      </c>
      <c r="C22" s="93" t="s">
        <v>347</v>
      </c>
      <c r="D22" s="94">
        <v>65</v>
      </c>
      <c r="E22" s="94" t="s">
        <v>105</v>
      </c>
      <c r="F22" s="144">
        <f>6288.81*40%</f>
        <v>2515.5240000000003</v>
      </c>
      <c r="G22" s="97">
        <f t="shared" si="0"/>
        <v>2083145672.7840004</v>
      </c>
      <c r="H22" s="98" t="s">
        <v>354</v>
      </c>
      <c r="I22" s="160"/>
    </row>
    <row r="23" spans="1:14" hidden="1" x14ac:dyDescent="0.25">
      <c r="A23" s="32"/>
      <c r="B23" s="2"/>
      <c r="C23" s="2"/>
      <c r="D23" s="2"/>
      <c r="E23" s="2"/>
      <c r="F23" s="144"/>
      <c r="G23" s="97"/>
      <c r="H23" s="24"/>
      <c r="I23" s="132"/>
    </row>
    <row r="24" spans="1:14" x14ac:dyDescent="0.25">
      <c r="B24" s="154"/>
      <c r="C24" s="154"/>
      <c r="D24" s="156"/>
      <c r="E24" s="32" t="s">
        <v>35</v>
      </c>
      <c r="F24" s="25">
        <f>SUM(F19:F23)</f>
        <v>16338.518</v>
      </c>
      <c r="G24" s="40">
        <f>SUM(G19:G23)</f>
        <v>13530188172.087999</v>
      </c>
      <c r="H24" s="26"/>
    </row>
    <row r="25" spans="1:14" x14ac:dyDescent="0.25">
      <c r="B25" s="34"/>
      <c r="D25" s="34"/>
      <c r="E25" s="42" t="s">
        <v>18</v>
      </c>
      <c r="F25" s="43"/>
      <c r="G25" s="44">
        <f>+G24/828116</f>
        <v>16338.518</v>
      </c>
      <c r="H25" s="41"/>
    </row>
    <row r="27" spans="1:14" ht="43.5" customHeight="1" x14ac:dyDescent="0.25">
      <c r="B27" s="305" t="s">
        <v>44</v>
      </c>
      <c r="C27" s="305"/>
      <c r="D27" s="305"/>
      <c r="E27" s="305"/>
      <c r="F27" s="305"/>
      <c r="G27" s="305"/>
      <c r="H27" s="306"/>
      <c r="I27" s="306"/>
      <c r="J27" s="306"/>
      <c r="K27" s="306"/>
      <c r="L27" s="306"/>
      <c r="M27" s="306"/>
      <c r="N27" s="306"/>
    </row>
    <row r="28" spans="1:14" ht="31.5" customHeight="1" x14ac:dyDescent="0.25">
      <c r="B28" s="307" t="s">
        <v>45</v>
      </c>
      <c r="C28" s="307"/>
      <c r="D28" s="307"/>
      <c r="E28" s="307"/>
      <c r="F28" s="307"/>
      <c r="G28" s="307"/>
      <c r="H28" s="308"/>
      <c r="I28" s="308"/>
      <c r="J28" s="308"/>
      <c r="K28" s="308"/>
      <c r="L28" s="308"/>
      <c r="M28" s="308"/>
      <c r="N28" s="308"/>
    </row>
    <row r="29" spans="1:14" ht="31.5" customHeight="1" x14ac:dyDescent="0.25">
      <c r="B29" s="307" t="s">
        <v>46</v>
      </c>
      <c r="C29" s="307"/>
      <c r="D29" s="307"/>
      <c r="E29" s="307"/>
      <c r="F29" s="307"/>
      <c r="G29" s="307"/>
      <c r="H29" s="309"/>
      <c r="I29" s="309"/>
      <c r="J29" s="309"/>
      <c r="K29" s="309"/>
      <c r="L29" s="309"/>
      <c r="M29" s="309"/>
      <c r="N29" s="309"/>
    </row>
    <row r="30" spans="1:14" ht="34.5" customHeight="1" x14ac:dyDescent="0.25">
      <c r="B30" s="307" t="s">
        <v>47</v>
      </c>
      <c r="C30" s="310"/>
      <c r="D30" s="310"/>
      <c r="E30" s="310"/>
      <c r="F30" s="310"/>
      <c r="G30" s="310"/>
      <c r="H30" s="309"/>
      <c r="I30" s="309"/>
      <c r="J30" s="309"/>
      <c r="K30" s="309"/>
      <c r="L30" s="309"/>
      <c r="M30" s="309"/>
      <c r="N30" s="309"/>
    </row>
    <row r="31" spans="1:14" ht="34.5" customHeight="1" x14ac:dyDescent="0.25">
      <c r="B31" s="307" t="s">
        <v>48</v>
      </c>
      <c r="C31" s="310"/>
      <c r="D31" s="310"/>
      <c r="E31" s="310"/>
      <c r="F31" s="310"/>
      <c r="G31" s="310"/>
      <c r="H31" s="309"/>
      <c r="I31" s="309"/>
      <c r="J31" s="309"/>
      <c r="K31" s="309"/>
      <c r="L31" s="309"/>
      <c r="M31" s="309"/>
      <c r="N31" s="309"/>
    </row>
    <row r="32" spans="1:14" x14ac:dyDescent="0.25">
      <c r="B32" s="27"/>
      <c r="G32" s="28"/>
    </row>
    <row r="35" spans="2:10" x14ac:dyDescent="0.25">
      <c r="B35" s="311" t="s">
        <v>49</v>
      </c>
      <c r="C35" s="311"/>
      <c r="D35" s="311"/>
    </row>
    <row r="36" spans="2:10" x14ac:dyDescent="0.25">
      <c r="B36" s="20"/>
    </row>
    <row r="41" spans="2:10" x14ac:dyDescent="0.25">
      <c r="H41" s="29"/>
      <c r="I41" s="30"/>
      <c r="J41" s="31"/>
    </row>
    <row r="42" spans="2:10" x14ac:dyDescent="0.25">
      <c r="H42" s="29"/>
      <c r="I42" s="30"/>
      <c r="J42" s="31"/>
    </row>
  </sheetData>
  <mergeCells count="19">
    <mergeCell ref="B2:I2"/>
    <mergeCell ref="B3:I3"/>
    <mergeCell ref="B4:I4"/>
    <mergeCell ref="E6:F6"/>
    <mergeCell ref="B7:B9"/>
    <mergeCell ref="E7:F8"/>
    <mergeCell ref="G7:G9"/>
    <mergeCell ref="E9:F9"/>
    <mergeCell ref="B27:G27"/>
    <mergeCell ref="H27:N27"/>
    <mergeCell ref="B28:G28"/>
    <mergeCell ref="H28:N28"/>
    <mergeCell ref="B29:G29"/>
    <mergeCell ref="H29:N29"/>
    <mergeCell ref="B30:G30"/>
    <mergeCell ref="H30:N30"/>
    <mergeCell ref="B31:G31"/>
    <mergeCell ref="H31:N31"/>
    <mergeCell ref="B35:D35"/>
  </mergeCells>
  <pageMargins left="0.7" right="0.7" top="0.75" bottom="0.75" header="0.3" footer="0.3"/>
  <pageSetup scale="37" orientation="portrait" r:id="rId1"/>
  <colBreaks count="1" manualBreakCount="1">
    <brk id="9" max="1048575" man="1"/>
  </colBreaks>
  <legacy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43"/>
  <sheetViews>
    <sheetView view="pageBreakPreview" topLeftCell="A10" zoomScale="60" zoomScaleNormal="100" workbookViewId="0">
      <selection activeCell="E13" sqref="E13"/>
    </sheetView>
  </sheetViews>
  <sheetFormatPr baseColWidth="10" defaultRowHeight="15" x14ac:dyDescent="0.25"/>
  <cols>
    <col min="1" max="1" width="7.5703125" style="20" customWidth="1"/>
    <col min="2" max="2" width="25.5703125" style="22" customWidth="1"/>
    <col min="3" max="3" width="30" style="22" customWidth="1"/>
    <col min="4" max="4" width="18.7109375" style="20" customWidth="1"/>
    <col min="5" max="5" width="15.5703125" style="20" customWidth="1"/>
    <col min="6" max="6" width="25.140625" style="20" customWidth="1"/>
    <col min="7" max="7" width="34" style="20" bestFit="1" customWidth="1"/>
    <col min="8" max="8" width="17.5703125" style="20" customWidth="1"/>
    <col min="9" max="9" width="50.28515625" style="20" customWidth="1"/>
    <col min="10" max="10" width="11.42578125" style="20"/>
    <col min="11" max="11" width="12.28515625" style="20" bestFit="1" customWidth="1"/>
    <col min="12" max="12" width="11.42578125" style="20"/>
    <col min="13" max="13" width="10.85546875" style="20" bestFit="1" customWidth="1"/>
    <col min="14" max="14" width="6.28515625" style="20" customWidth="1"/>
    <col min="15" max="16384" width="11.42578125" style="20"/>
  </cols>
  <sheetData>
    <row r="2" spans="2:9" ht="23.25" x14ac:dyDescent="0.25">
      <c r="B2" s="293" t="s">
        <v>26</v>
      </c>
      <c r="C2" s="293"/>
      <c r="D2" s="293"/>
      <c r="E2" s="293"/>
      <c r="F2" s="293"/>
      <c r="G2" s="293"/>
      <c r="H2" s="293"/>
      <c r="I2" s="293"/>
    </row>
    <row r="3" spans="2:9" ht="23.25" x14ac:dyDescent="0.25">
      <c r="B3" s="293" t="s">
        <v>37</v>
      </c>
      <c r="C3" s="293"/>
      <c r="D3" s="293"/>
      <c r="E3" s="293"/>
      <c r="F3" s="293"/>
      <c r="G3" s="293"/>
      <c r="H3" s="293"/>
      <c r="I3" s="293"/>
    </row>
    <row r="4" spans="2:9" ht="23.25" x14ac:dyDescent="0.25">
      <c r="B4" s="293" t="s">
        <v>27</v>
      </c>
      <c r="C4" s="293"/>
      <c r="D4" s="293"/>
      <c r="E4" s="293"/>
      <c r="F4" s="293"/>
      <c r="G4" s="293"/>
      <c r="H4" s="293"/>
      <c r="I4" s="293"/>
    </row>
    <row r="5" spans="2:9" ht="15.75" thickBot="1" x14ac:dyDescent="0.3"/>
    <row r="6" spans="2:9" ht="90" customHeight="1" x14ac:dyDescent="0.25">
      <c r="B6" s="63" t="s">
        <v>234</v>
      </c>
      <c r="C6" s="124" t="s">
        <v>233</v>
      </c>
      <c r="D6" s="66" t="s">
        <v>50</v>
      </c>
      <c r="E6" s="294" t="s">
        <v>52</v>
      </c>
      <c r="F6" s="295"/>
      <c r="G6" s="45" t="s">
        <v>0</v>
      </c>
      <c r="H6" s="109"/>
      <c r="I6" s="109"/>
    </row>
    <row r="7" spans="2:9" ht="34.5" customHeight="1" x14ac:dyDescent="0.25">
      <c r="B7" s="64"/>
      <c r="C7" s="143" t="s">
        <v>235</v>
      </c>
      <c r="D7" s="68">
        <v>0.5</v>
      </c>
      <c r="E7" s="296" t="s">
        <v>53</v>
      </c>
      <c r="F7" s="297"/>
      <c r="G7" s="300" t="s">
        <v>1</v>
      </c>
      <c r="H7" s="33"/>
      <c r="I7" s="34"/>
    </row>
    <row r="8" spans="2:9" ht="58.5" customHeight="1" x14ac:dyDescent="0.25">
      <c r="B8" s="64"/>
      <c r="C8" s="143" t="s">
        <v>236</v>
      </c>
      <c r="D8" s="68">
        <v>0.5</v>
      </c>
      <c r="E8" s="298"/>
      <c r="F8" s="299"/>
      <c r="G8" s="301"/>
      <c r="H8" s="35"/>
      <c r="I8" s="34"/>
    </row>
    <row r="9" spans="2:9" ht="39.75" customHeight="1" thickBot="1" x14ac:dyDescent="0.3">
      <c r="B9" s="65"/>
      <c r="C9" s="69"/>
      <c r="D9" s="125"/>
      <c r="E9" s="303" t="s">
        <v>51</v>
      </c>
      <c r="F9" s="304"/>
      <c r="G9" s="302"/>
      <c r="H9" s="35"/>
      <c r="I9" s="34"/>
    </row>
    <row r="11" spans="2:9" x14ac:dyDescent="0.25">
      <c r="B11" s="21" t="s">
        <v>28</v>
      </c>
      <c r="C11" s="32" t="s">
        <v>29</v>
      </c>
      <c r="D11" s="32" t="s">
        <v>18</v>
      </c>
      <c r="E11" s="32" t="s">
        <v>0</v>
      </c>
    </row>
    <row r="12" spans="2:9" x14ac:dyDescent="0.25">
      <c r="B12" s="36" t="s">
        <v>30</v>
      </c>
      <c r="C12" s="37">
        <v>5437884572</v>
      </c>
      <c r="D12" s="38">
        <f>+C12/828116</f>
        <v>6566.5734897043412</v>
      </c>
      <c r="E12" s="38"/>
    </row>
    <row r="13" spans="2:9" x14ac:dyDescent="0.25">
      <c r="B13" s="36" t="s">
        <v>38</v>
      </c>
      <c r="C13" s="37">
        <f>+C12*0.75</f>
        <v>4078413429</v>
      </c>
      <c r="D13" s="38">
        <f>+C13/828116</f>
        <v>4924.9301172782561</v>
      </c>
      <c r="E13" s="126" t="s">
        <v>0</v>
      </c>
    </row>
    <row r="14" spans="2:9" x14ac:dyDescent="0.25">
      <c r="B14" s="36" t="s">
        <v>39</v>
      </c>
      <c r="C14" s="37">
        <f>+C12*1.2</f>
        <v>6525461486.3999996</v>
      </c>
      <c r="D14" s="38">
        <f>+C14/828116</f>
        <v>7879.8881876452087</v>
      </c>
      <c r="E14" s="126"/>
    </row>
    <row r="15" spans="2:9" x14ac:dyDescent="0.25">
      <c r="B15" s="36" t="s">
        <v>40</v>
      </c>
      <c r="C15" s="37">
        <f>+C12*1.5</f>
        <v>8156826858</v>
      </c>
      <c r="D15" s="38">
        <f>+C15/828116</f>
        <v>9849.8602345565123</v>
      </c>
      <c r="E15" s="38"/>
    </row>
    <row r="17" spans="1:14" x14ac:dyDescent="0.25">
      <c r="B17" s="23" t="s">
        <v>31</v>
      </c>
      <c r="C17" s="23"/>
      <c r="D17" s="23"/>
    </row>
    <row r="18" spans="1:14" ht="30" x14ac:dyDescent="0.25">
      <c r="B18" s="32" t="s">
        <v>32</v>
      </c>
      <c r="C18" s="21" t="s">
        <v>33</v>
      </c>
      <c r="D18" s="32" t="s">
        <v>34</v>
      </c>
      <c r="E18" s="21" t="s">
        <v>54</v>
      </c>
      <c r="F18" s="21" t="s">
        <v>41</v>
      </c>
      <c r="G18" s="21" t="s">
        <v>42</v>
      </c>
      <c r="H18" s="21" t="s">
        <v>43</v>
      </c>
      <c r="I18" s="32" t="s">
        <v>17</v>
      </c>
    </row>
    <row r="19" spans="1:14" ht="65.099999999999994" customHeight="1" x14ac:dyDescent="0.25">
      <c r="A19" s="32">
        <v>1</v>
      </c>
      <c r="B19" s="94" t="s">
        <v>237</v>
      </c>
      <c r="C19" s="93" t="s">
        <v>236</v>
      </c>
      <c r="D19" s="94">
        <v>13</v>
      </c>
      <c r="E19" s="94" t="s">
        <v>0</v>
      </c>
      <c r="F19" s="144">
        <v>6826.43</v>
      </c>
      <c r="G19" s="97">
        <f>+F19*828116</f>
        <v>5653075905.8800001</v>
      </c>
      <c r="H19" s="98" t="s">
        <v>238</v>
      </c>
      <c r="I19" s="8" t="s">
        <v>0</v>
      </c>
    </row>
    <row r="20" spans="1:14" ht="96" customHeight="1" x14ac:dyDescent="0.25">
      <c r="A20" s="32">
        <v>2</v>
      </c>
      <c r="B20" s="94" t="s">
        <v>239</v>
      </c>
      <c r="C20" s="93" t="s">
        <v>236</v>
      </c>
      <c r="D20" s="94">
        <v>20</v>
      </c>
      <c r="E20" s="94" t="s">
        <v>240</v>
      </c>
      <c r="F20" s="145">
        <v>10310.4</v>
      </c>
      <c r="G20" s="97">
        <f t="shared" ref="G20" si="0">+F20*828116</f>
        <v>8538207206.3999996</v>
      </c>
      <c r="H20" s="98" t="s">
        <v>241</v>
      </c>
      <c r="I20" s="93" t="s">
        <v>242</v>
      </c>
    </row>
    <row r="21" spans="1:14" ht="65.099999999999994" customHeight="1" x14ac:dyDescent="0.25">
      <c r="A21" s="32">
        <v>3</v>
      </c>
      <c r="B21" s="94"/>
      <c r="C21" s="94"/>
      <c r="D21" s="146"/>
      <c r="E21" s="94"/>
      <c r="F21" s="144"/>
      <c r="G21" s="97"/>
      <c r="H21" s="98"/>
      <c r="I21" s="99"/>
    </row>
    <row r="22" spans="1:14" ht="65.099999999999994" customHeight="1" x14ac:dyDescent="0.25">
      <c r="A22" s="32">
        <v>4</v>
      </c>
      <c r="B22" s="94"/>
      <c r="C22" s="94"/>
      <c r="D22" s="94"/>
      <c r="E22" s="94"/>
      <c r="F22" s="144"/>
      <c r="G22" s="97"/>
      <c r="H22" s="98"/>
      <c r="I22" s="99"/>
    </row>
    <row r="23" spans="1:14" ht="65.099999999999994" customHeight="1" x14ac:dyDescent="0.25">
      <c r="A23" s="32">
        <v>5</v>
      </c>
      <c r="B23" s="2"/>
      <c r="C23" s="2"/>
      <c r="D23" s="2"/>
      <c r="E23" s="2"/>
      <c r="F23" s="130"/>
      <c r="G23" s="131"/>
      <c r="H23" s="24"/>
      <c r="I23" s="132"/>
    </row>
    <row r="24" spans="1:14" ht="65.099999999999994" customHeight="1" x14ac:dyDescent="0.25">
      <c r="A24" s="32">
        <v>6</v>
      </c>
      <c r="B24" s="2"/>
      <c r="C24" s="2"/>
      <c r="D24" s="2"/>
      <c r="E24" s="2"/>
      <c r="F24" s="130"/>
      <c r="G24" s="131"/>
      <c r="H24" s="24"/>
      <c r="I24" s="132"/>
    </row>
    <row r="25" spans="1:14" x14ac:dyDescent="0.25">
      <c r="B25" s="2"/>
      <c r="D25" s="2"/>
      <c r="E25" s="32" t="s">
        <v>35</v>
      </c>
      <c r="F25" s="25">
        <f>SUM(F19:F24)</f>
        <v>17136.830000000002</v>
      </c>
      <c r="G25" s="40">
        <f>SUM(G19:G24)</f>
        <v>14191283112.279999</v>
      </c>
      <c r="H25" s="26"/>
    </row>
    <row r="26" spans="1:14" x14ac:dyDescent="0.25">
      <c r="B26" s="34"/>
      <c r="D26" s="34"/>
      <c r="E26" s="42" t="s">
        <v>18</v>
      </c>
      <c r="F26" s="43"/>
      <c r="G26" s="44">
        <f>+G25/828116</f>
        <v>17136.829999999998</v>
      </c>
      <c r="H26" s="41"/>
    </row>
    <row r="28" spans="1:14" ht="43.5" customHeight="1" x14ac:dyDescent="0.25">
      <c r="B28" s="305" t="s">
        <v>44</v>
      </c>
      <c r="C28" s="305"/>
      <c r="D28" s="305"/>
      <c r="E28" s="305"/>
      <c r="F28" s="305"/>
      <c r="G28" s="305"/>
      <c r="H28" s="306"/>
      <c r="I28" s="306"/>
      <c r="J28" s="306"/>
      <c r="K28" s="306"/>
      <c r="L28" s="306"/>
      <c r="M28" s="306"/>
      <c r="N28" s="306"/>
    </row>
    <row r="29" spans="1:14" ht="31.5" customHeight="1" x14ac:dyDescent="0.25">
      <c r="B29" s="307" t="s">
        <v>45</v>
      </c>
      <c r="C29" s="307"/>
      <c r="D29" s="307"/>
      <c r="E29" s="307"/>
      <c r="F29" s="307"/>
      <c r="G29" s="307"/>
      <c r="H29" s="308"/>
      <c r="I29" s="308"/>
      <c r="J29" s="308"/>
      <c r="K29" s="308"/>
      <c r="L29" s="308"/>
      <c r="M29" s="308"/>
      <c r="N29" s="308"/>
    </row>
    <row r="30" spans="1:14" ht="31.5" customHeight="1" x14ac:dyDescent="0.25">
      <c r="B30" s="307" t="s">
        <v>46</v>
      </c>
      <c r="C30" s="307"/>
      <c r="D30" s="307"/>
      <c r="E30" s="307"/>
      <c r="F30" s="307"/>
      <c r="G30" s="307"/>
      <c r="H30" s="309"/>
      <c r="I30" s="309"/>
      <c r="J30" s="309"/>
      <c r="K30" s="309"/>
      <c r="L30" s="309"/>
      <c r="M30" s="309"/>
      <c r="N30" s="309"/>
    </row>
    <row r="31" spans="1:14" ht="34.5" customHeight="1" x14ac:dyDescent="0.25">
      <c r="B31" s="307" t="s">
        <v>47</v>
      </c>
      <c r="C31" s="310"/>
      <c r="D31" s="310"/>
      <c r="E31" s="310"/>
      <c r="F31" s="310"/>
      <c r="G31" s="310"/>
      <c r="H31" s="309"/>
      <c r="I31" s="309"/>
      <c r="J31" s="309"/>
      <c r="K31" s="309"/>
      <c r="L31" s="309"/>
      <c r="M31" s="309"/>
      <c r="N31" s="309"/>
    </row>
    <row r="32" spans="1:14" ht="34.5" customHeight="1" x14ac:dyDescent="0.25">
      <c r="B32" s="307" t="s">
        <v>48</v>
      </c>
      <c r="C32" s="310"/>
      <c r="D32" s="310"/>
      <c r="E32" s="310"/>
      <c r="F32" s="310"/>
      <c r="G32" s="310"/>
      <c r="H32" s="309"/>
      <c r="I32" s="309"/>
      <c r="J32" s="309"/>
      <c r="K32" s="309"/>
      <c r="L32" s="309"/>
      <c r="M32" s="309"/>
      <c r="N32" s="309"/>
    </row>
    <row r="33" spans="2:10" x14ac:dyDescent="0.25">
      <c r="B33" s="27"/>
      <c r="G33" s="28"/>
    </row>
    <row r="36" spans="2:10" x14ac:dyDescent="0.25">
      <c r="B36" s="311" t="s">
        <v>49</v>
      </c>
      <c r="C36" s="311"/>
      <c r="D36" s="311"/>
    </row>
    <row r="37" spans="2:10" x14ac:dyDescent="0.25">
      <c r="B37" s="20"/>
    </row>
    <row r="42" spans="2:10" x14ac:dyDescent="0.25">
      <c r="H42" s="29"/>
      <c r="I42" s="30"/>
      <c r="J42" s="31"/>
    </row>
    <row r="43" spans="2:10" x14ac:dyDescent="0.25">
      <c r="H43" s="29"/>
      <c r="I43" s="30"/>
      <c r="J43" s="31"/>
    </row>
  </sheetData>
  <mergeCells count="18">
    <mergeCell ref="B2:I2"/>
    <mergeCell ref="B3:I3"/>
    <mergeCell ref="B4:I4"/>
    <mergeCell ref="E6:F6"/>
    <mergeCell ref="E7:F8"/>
    <mergeCell ref="G7:G9"/>
    <mergeCell ref="E9:F9"/>
    <mergeCell ref="B28:G28"/>
    <mergeCell ref="H28:N28"/>
    <mergeCell ref="B29:G29"/>
    <mergeCell ref="H29:N29"/>
    <mergeCell ref="B30:G30"/>
    <mergeCell ref="H30:N30"/>
    <mergeCell ref="B31:G31"/>
    <mergeCell ref="H31:N31"/>
    <mergeCell ref="B32:G32"/>
    <mergeCell ref="H32:N32"/>
    <mergeCell ref="B36:D36"/>
  </mergeCells>
  <pageMargins left="0.7" right="0.7" top="0.75" bottom="0.75" header="0.3" footer="0.3"/>
  <pageSetup scale="40" orientation="portrait" r:id="rId1"/>
  <colBreaks count="1" manualBreakCount="1">
    <brk id="9" max="1048575" man="1"/>
  </col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43"/>
  <sheetViews>
    <sheetView view="pageBreakPreview" topLeftCell="A7" zoomScale="60" zoomScaleNormal="100" workbookViewId="0">
      <selection activeCell="F19" sqref="F19"/>
    </sheetView>
  </sheetViews>
  <sheetFormatPr baseColWidth="10" defaultRowHeight="15" x14ac:dyDescent="0.25"/>
  <cols>
    <col min="1" max="1" width="7.5703125" style="20" customWidth="1"/>
    <col min="2" max="2" width="25.5703125" style="22" customWidth="1"/>
    <col min="3" max="3" width="30" style="22" customWidth="1"/>
    <col min="4" max="4" width="18.7109375" style="20" customWidth="1"/>
    <col min="5" max="5" width="55.42578125" style="20" customWidth="1"/>
    <col min="6" max="6" width="25.140625" style="20" customWidth="1"/>
    <col min="7" max="7" width="34" style="20" bestFit="1" customWidth="1"/>
    <col min="8" max="8" width="17.5703125" style="20" customWidth="1"/>
    <col min="9" max="9" width="50.28515625" style="20" customWidth="1"/>
    <col min="10" max="10" width="11.42578125" style="20"/>
    <col min="11" max="11" width="12.28515625" style="20" bestFit="1" customWidth="1"/>
    <col min="12" max="12" width="11.42578125" style="20"/>
    <col min="13" max="13" width="10.85546875" style="20" bestFit="1" customWidth="1"/>
    <col min="14" max="14" width="6.28515625" style="20" customWidth="1"/>
    <col min="15" max="16384" width="11.42578125" style="20"/>
  </cols>
  <sheetData>
    <row r="2" spans="2:9" ht="23.25" x14ac:dyDescent="0.25">
      <c r="B2" s="293" t="s">
        <v>26</v>
      </c>
      <c r="C2" s="293"/>
      <c r="D2" s="293"/>
      <c r="E2" s="293"/>
      <c r="F2" s="293"/>
      <c r="G2" s="293"/>
      <c r="H2" s="293"/>
      <c r="I2" s="293"/>
    </row>
    <row r="3" spans="2:9" ht="23.25" x14ac:dyDescent="0.25">
      <c r="B3" s="293" t="s">
        <v>37</v>
      </c>
      <c r="C3" s="293"/>
      <c r="D3" s="293"/>
      <c r="E3" s="293"/>
      <c r="F3" s="293"/>
      <c r="G3" s="293"/>
      <c r="H3" s="293"/>
      <c r="I3" s="293"/>
    </row>
    <row r="4" spans="2:9" ht="23.25" x14ac:dyDescent="0.25">
      <c r="B4" s="293" t="s">
        <v>27</v>
      </c>
      <c r="C4" s="293"/>
      <c r="D4" s="293"/>
      <c r="E4" s="293"/>
      <c r="F4" s="293"/>
      <c r="G4" s="293"/>
      <c r="H4" s="293"/>
      <c r="I4" s="293"/>
    </row>
    <row r="5" spans="2:9" ht="15.75" thickBot="1" x14ac:dyDescent="0.3"/>
    <row r="6" spans="2:9" ht="90" customHeight="1" x14ac:dyDescent="0.25">
      <c r="B6" s="63" t="s">
        <v>234</v>
      </c>
      <c r="C6" s="124" t="s">
        <v>230</v>
      </c>
      <c r="D6" s="66" t="s">
        <v>50</v>
      </c>
      <c r="E6" s="294" t="s">
        <v>52</v>
      </c>
      <c r="F6" s="295"/>
      <c r="G6" s="45" t="s">
        <v>0</v>
      </c>
      <c r="H6" s="109"/>
      <c r="I6" s="109"/>
    </row>
    <row r="7" spans="2:9" ht="34.5" customHeight="1" x14ac:dyDescent="0.25">
      <c r="B7" s="64"/>
      <c r="C7" s="143" t="s">
        <v>243</v>
      </c>
      <c r="D7" s="68">
        <v>0.99</v>
      </c>
      <c r="E7" s="296" t="s">
        <v>53</v>
      </c>
      <c r="F7" s="297"/>
      <c r="G7" s="300" t="s">
        <v>1</v>
      </c>
      <c r="H7" s="33"/>
      <c r="I7" s="34"/>
    </row>
    <row r="8" spans="2:9" ht="58.5" customHeight="1" x14ac:dyDescent="0.25">
      <c r="B8" s="64"/>
      <c r="C8" s="143" t="s">
        <v>244</v>
      </c>
      <c r="D8" s="68">
        <v>0.01</v>
      </c>
      <c r="E8" s="298"/>
      <c r="F8" s="299"/>
      <c r="G8" s="301"/>
      <c r="H8" s="35"/>
      <c r="I8" s="34"/>
    </row>
    <row r="9" spans="2:9" ht="39.75" customHeight="1" thickBot="1" x14ac:dyDescent="0.3">
      <c r="B9" s="65"/>
      <c r="C9" s="69"/>
      <c r="D9" s="125"/>
      <c r="E9" s="303" t="s">
        <v>51</v>
      </c>
      <c r="F9" s="304"/>
      <c r="G9" s="302"/>
      <c r="H9" s="35"/>
      <c r="I9" s="34"/>
    </row>
    <row r="11" spans="2:9" x14ac:dyDescent="0.25">
      <c r="B11" s="21" t="s">
        <v>28</v>
      </c>
      <c r="C11" s="32" t="s">
        <v>29</v>
      </c>
      <c r="D11" s="32" t="s">
        <v>18</v>
      </c>
      <c r="E11" s="32" t="s">
        <v>0</v>
      </c>
    </row>
    <row r="12" spans="2:9" x14ac:dyDescent="0.25">
      <c r="B12" s="36" t="s">
        <v>30</v>
      </c>
      <c r="C12" s="37">
        <v>5437884572</v>
      </c>
      <c r="D12" s="38">
        <f>+C12/828116</f>
        <v>6566.5734897043412</v>
      </c>
      <c r="E12" s="38"/>
    </row>
    <row r="13" spans="2:9" x14ac:dyDescent="0.25">
      <c r="B13" s="36" t="s">
        <v>38</v>
      </c>
      <c r="C13" s="37">
        <f>+C12*0.75</f>
        <v>4078413429</v>
      </c>
      <c r="D13" s="38">
        <f>+C13/828116</f>
        <v>4924.9301172782561</v>
      </c>
      <c r="E13" s="38"/>
    </row>
    <row r="14" spans="2:9" x14ac:dyDescent="0.25">
      <c r="B14" s="36" t="s">
        <v>39</v>
      </c>
      <c r="C14" s="37">
        <f>+C12*1.2</f>
        <v>6525461486.3999996</v>
      </c>
      <c r="D14" s="38">
        <f>+C14/828116</f>
        <v>7879.8881876452087</v>
      </c>
      <c r="E14" s="126" t="s">
        <v>0</v>
      </c>
    </row>
    <row r="15" spans="2:9" x14ac:dyDescent="0.25">
      <c r="B15" s="36" t="s">
        <v>245</v>
      </c>
      <c r="C15" s="37">
        <f>+C12*1.5</f>
        <v>8156826858</v>
      </c>
      <c r="D15" s="38">
        <f>+C15/828116</f>
        <v>9849.8602345565123</v>
      </c>
      <c r="E15" s="38"/>
    </row>
    <row r="17" spans="1:14" x14ac:dyDescent="0.25">
      <c r="B17" s="23" t="s">
        <v>31</v>
      </c>
      <c r="C17" s="23"/>
      <c r="D17" s="23"/>
    </row>
    <row r="18" spans="1:14" ht="30" x14ac:dyDescent="0.25">
      <c r="B18" s="32" t="s">
        <v>32</v>
      </c>
      <c r="C18" s="21" t="s">
        <v>33</v>
      </c>
      <c r="D18" s="32" t="s">
        <v>34</v>
      </c>
      <c r="E18" s="21" t="s">
        <v>54</v>
      </c>
      <c r="F18" s="21" t="s">
        <v>41</v>
      </c>
      <c r="G18" s="21" t="s">
        <v>42</v>
      </c>
      <c r="H18" s="21" t="s">
        <v>43</v>
      </c>
      <c r="I18" s="32" t="s">
        <v>17</v>
      </c>
    </row>
    <row r="19" spans="1:14" ht="178.5" customHeight="1" x14ac:dyDescent="0.25">
      <c r="A19" s="32">
        <v>1</v>
      </c>
      <c r="B19" s="94" t="s">
        <v>246</v>
      </c>
      <c r="C19" s="93" t="s">
        <v>247</v>
      </c>
      <c r="D19" s="94">
        <v>15</v>
      </c>
      <c r="E19" s="93" t="s">
        <v>248</v>
      </c>
      <c r="F19" s="147">
        <v>4451.3100000000004</v>
      </c>
      <c r="G19" s="148">
        <f>F19*828116</f>
        <v>3686201031.9600005</v>
      </c>
      <c r="H19" s="98" t="s">
        <v>249</v>
      </c>
      <c r="I19" s="8" t="s">
        <v>0</v>
      </c>
    </row>
    <row r="20" spans="1:14" ht="177" customHeight="1" x14ac:dyDescent="0.25">
      <c r="A20" s="32">
        <v>2</v>
      </c>
      <c r="B20" s="94" t="s">
        <v>250</v>
      </c>
      <c r="C20" s="93" t="s">
        <v>247</v>
      </c>
      <c r="D20" s="94">
        <v>13</v>
      </c>
      <c r="E20" s="93" t="s">
        <v>251</v>
      </c>
      <c r="F20" s="149">
        <v>5160.2460000000001</v>
      </c>
      <c r="G20" s="97">
        <f t="shared" ref="G20" si="0">+F20*828116</f>
        <v>4273282276.5360003</v>
      </c>
      <c r="H20" s="98" t="s">
        <v>252</v>
      </c>
      <c r="I20" s="8" t="s">
        <v>0</v>
      </c>
    </row>
    <row r="21" spans="1:14" ht="138" customHeight="1" x14ac:dyDescent="0.25">
      <c r="A21" s="32">
        <v>3</v>
      </c>
      <c r="B21" s="94" t="s">
        <v>253</v>
      </c>
      <c r="C21" s="93" t="s">
        <v>254</v>
      </c>
      <c r="D21" s="94">
        <v>38</v>
      </c>
      <c r="E21" s="93" t="s">
        <v>255</v>
      </c>
      <c r="F21" s="149">
        <v>1361.91</v>
      </c>
      <c r="G21" s="97">
        <f>F21*828116*0.5</f>
        <v>563909730.78000009</v>
      </c>
      <c r="H21" s="98" t="s">
        <v>256</v>
      </c>
      <c r="I21" s="8" t="s">
        <v>0</v>
      </c>
    </row>
    <row r="22" spans="1:14" ht="65.099999999999994" customHeight="1" x14ac:dyDescent="0.25">
      <c r="A22" s="32">
        <v>4</v>
      </c>
      <c r="B22" s="94" t="s">
        <v>257</v>
      </c>
      <c r="C22" s="93" t="s">
        <v>254</v>
      </c>
      <c r="D22" s="94">
        <v>19</v>
      </c>
      <c r="E22" s="93" t="s">
        <v>258</v>
      </c>
      <c r="F22" s="149">
        <v>459.42</v>
      </c>
      <c r="G22" s="97">
        <f>F22*828116</f>
        <v>380453052.72000003</v>
      </c>
      <c r="H22" s="98" t="s">
        <v>259</v>
      </c>
      <c r="I22" s="8" t="s">
        <v>0</v>
      </c>
    </row>
    <row r="23" spans="1:14" ht="65.099999999999994" customHeight="1" x14ac:dyDescent="0.25">
      <c r="A23" s="32">
        <v>5</v>
      </c>
      <c r="B23" s="2"/>
      <c r="C23" s="2"/>
      <c r="D23" s="2"/>
      <c r="E23" s="2"/>
      <c r="F23" s="130"/>
      <c r="G23" s="131"/>
      <c r="H23" s="24"/>
      <c r="I23" s="132"/>
    </row>
    <row r="24" spans="1:14" ht="65.099999999999994" customHeight="1" x14ac:dyDescent="0.25">
      <c r="A24" s="32">
        <v>6</v>
      </c>
      <c r="B24" s="2"/>
      <c r="C24" s="2"/>
      <c r="D24" s="2"/>
      <c r="E24" s="2"/>
      <c r="F24" s="130"/>
      <c r="G24" s="131"/>
      <c r="H24" s="24"/>
      <c r="I24" s="132"/>
    </row>
    <row r="25" spans="1:14" x14ac:dyDescent="0.25">
      <c r="B25" s="2"/>
      <c r="D25" s="2"/>
      <c r="E25" s="32" t="s">
        <v>35</v>
      </c>
      <c r="F25" s="25">
        <f>SUM(F19:F24)</f>
        <v>11432.886</v>
      </c>
      <c r="G25" s="40">
        <f>SUM(G19:G24)</f>
        <v>8903846091.9960003</v>
      </c>
      <c r="H25" s="26"/>
    </row>
    <row r="26" spans="1:14" x14ac:dyDescent="0.25">
      <c r="B26" s="34"/>
      <c r="D26" s="34"/>
      <c r="E26" s="42" t="s">
        <v>18</v>
      </c>
      <c r="F26" s="43"/>
      <c r="G26" s="44">
        <f>+G25/828116</f>
        <v>10751.931</v>
      </c>
      <c r="H26" s="41"/>
    </row>
    <row r="28" spans="1:14" ht="43.5" customHeight="1" x14ac:dyDescent="0.25">
      <c r="B28" s="305" t="s">
        <v>44</v>
      </c>
      <c r="C28" s="305"/>
      <c r="D28" s="305"/>
      <c r="E28" s="305"/>
      <c r="F28" s="305"/>
      <c r="G28" s="305"/>
      <c r="H28" s="306"/>
      <c r="I28" s="306"/>
      <c r="J28" s="306"/>
      <c r="K28" s="306"/>
      <c r="L28" s="306"/>
      <c r="M28" s="306"/>
      <c r="N28" s="306"/>
    </row>
    <row r="29" spans="1:14" ht="31.5" customHeight="1" x14ac:dyDescent="0.25">
      <c r="B29" s="307" t="s">
        <v>45</v>
      </c>
      <c r="C29" s="307"/>
      <c r="D29" s="307"/>
      <c r="E29" s="307"/>
      <c r="F29" s="307"/>
      <c r="G29" s="307"/>
      <c r="H29" s="308"/>
      <c r="I29" s="308"/>
      <c r="J29" s="308"/>
      <c r="K29" s="308"/>
      <c r="L29" s="308"/>
      <c r="M29" s="308"/>
      <c r="N29" s="308"/>
    </row>
    <row r="30" spans="1:14" ht="31.5" customHeight="1" x14ac:dyDescent="0.25">
      <c r="B30" s="307" t="s">
        <v>46</v>
      </c>
      <c r="C30" s="307"/>
      <c r="D30" s="307"/>
      <c r="E30" s="307"/>
      <c r="F30" s="307"/>
      <c r="G30" s="307"/>
      <c r="H30" s="309"/>
      <c r="I30" s="309"/>
      <c r="J30" s="309"/>
      <c r="K30" s="309"/>
      <c r="L30" s="309"/>
      <c r="M30" s="309"/>
      <c r="N30" s="309"/>
    </row>
    <row r="31" spans="1:14" ht="34.5" customHeight="1" x14ac:dyDescent="0.25">
      <c r="B31" s="307" t="s">
        <v>47</v>
      </c>
      <c r="C31" s="310"/>
      <c r="D31" s="310"/>
      <c r="E31" s="310"/>
      <c r="F31" s="310"/>
      <c r="G31" s="310"/>
      <c r="H31" s="309"/>
      <c r="I31" s="309"/>
      <c r="J31" s="309"/>
      <c r="K31" s="309"/>
      <c r="L31" s="309"/>
      <c r="M31" s="309"/>
      <c r="N31" s="309"/>
    </row>
    <row r="32" spans="1:14" ht="34.5" customHeight="1" x14ac:dyDescent="0.25">
      <c r="B32" s="307" t="s">
        <v>48</v>
      </c>
      <c r="C32" s="310"/>
      <c r="D32" s="310"/>
      <c r="E32" s="310"/>
      <c r="F32" s="310"/>
      <c r="G32" s="310"/>
      <c r="H32" s="309"/>
      <c r="I32" s="309"/>
      <c r="J32" s="309"/>
      <c r="K32" s="309"/>
      <c r="L32" s="309"/>
      <c r="M32" s="309"/>
      <c r="N32" s="309"/>
    </row>
    <row r="33" spans="2:10" x14ac:dyDescent="0.25">
      <c r="B33" s="27"/>
      <c r="G33" s="28"/>
    </row>
    <row r="36" spans="2:10" x14ac:dyDescent="0.25">
      <c r="B36" s="311" t="s">
        <v>49</v>
      </c>
      <c r="C36" s="311"/>
      <c r="D36" s="311"/>
    </row>
    <row r="37" spans="2:10" x14ac:dyDescent="0.25">
      <c r="B37" s="20"/>
    </row>
    <row r="42" spans="2:10" x14ac:dyDescent="0.25">
      <c r="H42" s="29"/>
      <c r="I42" s="30"/>
      <c r="J42" s="31"/>
    </row>
    <row r="43" spans="2:10" x14ac:dyDescent="0.25">
      <c r="H43" s="29"/>
      <c r="I43" s="30"/>
      <c r="J43" s="31"/>
    </row>
  </sheetData>
  <mergeCells count="18">
    <mergeCell ref="B2:I2"/>
    <mergeCell ref="B3:I3"/>
    <mergeCell ref="B4:I4"/>
    <mergeCell ref="E6:F6"/>
    <mergeCell ref="E7:F8"/>
    <mergeCell ref="G7:G9"/>
    <mergeCell ref="E9:F9"/>
    <mergeCell ref="B28:G28"/>
    <mergeCell ref="H28:N28"/>
    <mergeCell ref="B29:G29"/>
    <mergeCell ref="H29:N29"/>
    <mergeCell ref="B30:G30"/>
    <mergeCell ref="H30:N30"/>
    <mergeCell ref="B31:G31"/>
    <mergeCell ref="H31:N31"/>
    <mergeCell ref="B32:G32"/>
    <mergeCell ref="H32:N32"/>
    <mergeCell ref="B36:D36"/>
  </mergeCells>
  <pageMargins left="0.7" right="0.7" top="0.75" bottom="0.75" header="0.3" footer="0.3"/>
  <pageSetup scale="34" orientation="portrait" r:id="rId1"/>
  <colBreaks count="1" manualBreakCount="1">
    <brk id="9" max="35" man="1"/>
  </col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43"/>
  <sheetViews>
    <sheetView view="pageBreakPreview" topLeftCell="A20" zoomScale="60" zoomScaleNormal="100" workbookViewId="0">
      <selection activeCell="E14" sqref="E14"/>
    </sheetView>
  </sheetViews>
  <sheetFormatPr baseColWidth="10" defaultRowHeight="15" x14ac:dyDescent="0.25"/>
  <cols>
    <col min="1" max="1" width="7.5703125" style="20" customWidth="1"/>
    <col min="2" max="2" width="25.5703125" style="22" customWidth="1"/>
    <col min="3" max="3" width="30" style="22" customWidth="1"/>
    <col min="4" max="4" width="18.7109375" style="20" customWidth="1"/>
    <col min="5" max="5" width="55.42578125" style="20" customWidth="1"/>
    <col min="6" max="6" width="25.140625" style="20" customWidth="1"/>
    <col min="7" max="7" width="34" style="20" bestFit="1" customWidth="1"/>
    <col min="8" max="8" width="17.5703125" style="20" customWidth="1"/>
    <col min="9" max="9" width="50.28515625" style="20" customWidth="1"/>
    <col min="10" max="10" width="11.42578125" style="20"/>
    <col min="11" max="11" width="12.28515625" style="20" bestFit="1" customWidth="1"/>
    <col min="12" max="12" width="11.42578125" style="20"/>
    <col min="13" max="13" width="10.85546875" style="20" bestFit="1" customWidth="1"/>
    <col min="14" max="14" width="6.28515625" style="20" customWidth="1"/>
    <col min="15" max="16384" width="11.42578125" style="20"/>
  </cols>
  <sheetData>
    <row r="2" spans="2:9" ht="23.25" x14ac:dyDescent="0.25">
      <c r="B2" s="293" t="s">
        <v>26</v>
      </c>
      <c r="C2" s="293"/>
      <c r="D2" s="293"/>
      <c r="E2" s="293"/>
      <c r="F2" s="293"/>
      <c r="G2" s="293"/>
      <c r="H2" s="293"/>
      <c r="I2" s="293"/>
    </row>
    <row r="3" spans="2:9" ht="23.25" x14ac:dyDescent="0.25">
      <c r="B3" s="293" t="s">
        <v>37</v>
      </c>
      <c r="C3" s="293"/>
      <c r="D3" s="293"/>
      <c r="E3" s="293"/>
      <c r="F3" s="293"/>
      <c r="G3" s="293"/>
      <c r="H3" s="293"/>
      <c r="I3" s="293"/>
    </row>
    <row r="4" spans="2:9" ht="23.25" x14ac:dyDescent="0.25">
      <c r="B4" s="293" t="s">
        <v>27</v>
      </c>
      <c r="C4" s="293"/>
      <c r="D4" s="293"/>
      <c r="E4" s="293"/>
      <c r="F4" s="293"/>
      <c r="G4" s="293"/>
      <c r="H4" s="293"/>
      <c r="I4" s="293"/>
    </row>
    <row r="5" spans="2:9" ht="15.75" thickBot="1" x14ac:dyDescent="0.3"/>
    <row r="6" spans="2:9" ht="90" customHeight="1" x14ac:dyDescent="0.25">
      <c r="B6" s="63" t="s">
        <v>260</v>
      </c>
      <c r="C6" s="124" t="s">
        <v>261</v>
      </c>
      <c r="D6" s="66" t="s">
        <v>50</v>
      </c>
      <c r="E6" s="294" t="s">
        <v>52</v>
      </c>
      <c r="F6" s="295"/>
      <c r="G6" s="45" t="s">
        <v>0</v>
      </c>
      <c r="H6" s="109"/>
      <c r="I6" s="109"/>
    </row>
    <row r="7" spans="2:9" ht="34.5" customHeight="1" x14ac:dyDescent="0.25">
      <c r="B7" s="64"/>
      <c r="C7" s="340" t="s">
        <v>261</v>
      </c>
      <c r="D7" s="342">
        <v>1</v>
      </c>
      <c r="E7" s="296" t="s">
        <v>53</v>
      </c>
      <c r="F7" s="297"/>
      <c r="G7" s="300" t="s">
        <v>1</v>
      </c>
      <c r="H7" s="33"/>
      <c r="I7" s="34"/>
    </row>
    <row r="8" spans="2:9" ht="58.5" customHeight="1" x14ac:dyDescent="0.25">
      <c r="B8" s="64"/>
      <c r="C8" s="341"/>
      <c r="D8" s="343"/>
      <c r="E8" s="298"/>
      <c r="F8" s="299"/>
      <c r="G8" s="301"/>
      <c r="H8" s="35"/>
      <c r="I8" s="34"/>
    </row>
    <row r="9" spans="2:9" ht="39.75" customHeight="1" thickBot="1" x14ac:dyDescent="0.3">
      <c r="B9" s="65"/>
      <c r="C9" s="69"/>
      <c r="D9" s="125"/>
      <c r="E9" s="303" t="s">
        <v>51</v>
      </c>
      <c r="F9" s="304"/>
      <c r="G9" s="302"/>
      <c r="H9" s="35"/>
      <c r="I9" s="34"/>
    </row>
    <row r="11" spans="2:9" x14ac:dyDescent="0.25">
      <c r="B11" s="21" t="s">
        <v>28</v>
      </c>
      <c r="C11" s="32" t="s">
        <v>29</v>
      </c>
      <c r="D11" s="32" t="s">
        <v>18</v>
      </c>
      <c r="E11" s="32" t="s">
        <v>0</v>
      </c>
    </row>
    <row r="12" spans="2:9" x14ac:dyDescent="0.25">
      <c r="B12" s="36" t="s">
        <v>30</v>
      </c>
      <c r="C12" s="37">
        <v>5437884572</v>
      </c>
      <c r="D12" s="38">
        <f>+C12/828116</f>
        <v>6566.5734897043412</v>
      </c>
      <c r="E12" s="38"/>
    </row>
    <row r="13" spans="2:9" x14ac:dyDescent="0.25">
      <c r="B13" s="36" t="s">
        <v>38</v>
      </c>
      <c r="C13" s="37">
        <f>+C12*0.75</f>
        <v>4078413429</v>
      </c>
      <c r="D13" s="38">
        <f>+C13/828116</f>
        <v>4924.9301172782561</v>
      </c>
      <c r="E13" s="38"/>
    </row>
    <row r="14" spans="2:9" x14ac:dyDescent="0.25">
      <c r="B14" s="36" t="s">
        <v>39</v>
      </c>
      <c r="C14" s="37">
        <f>+C12*1.2</f>
        <v>6525461486.3999996</v>
      </c>
      <c r="D14" s="38">
        <f>+C14/828116</f>
        <v>7879.8881876452087</v>
      </c>
      <c r="E14" s="126" t="s">
        <v>0</v>
      </c>
    </row>
    <row r="15" spans="2:9" x14ac:dyDescent="0.25">
      <c r="B15" s="36" t="s">
        <v>245</v>
      </c>
      <c r="C15" s="37">
        <f>+C12*1.5</f>
        <v>8156826858</v>
      </c>
      <c r="D15" s="38">
        <f>+C15/828116</f>
        <v>9849.8602345565123</v>
      </c>
      <c r="E15" s="38"/>
    </row>
    <row r="17" spans="1:14" x14ac:dyDescent="0.25">
      <c r="B17" s="23" t="s">
        <v>31</v>
      </c>
      <c r="C17" s="23"/>
      <c r="D17" s="23"/>
    </row>
    <row r="18" spans="1:14" ht="30" x14ac:dyDescent="0.25">
      <c r="B18" s="32" t="s">
        <v>32</v>
      </c>
      <c r="C18" s="21" t="s">
        <v>33</v>
      </c>
      <c r="D18" s="32" t="s">
        <v>34</v>
      </c>
      <c r="E18" s="21" t="s">
        <v>54</v>
      </c>
      <c r="F18" s="21" t="s">
        <v>41</v>
      </c>
      <c r="G18" s="21" t="s">
        <v>42</v>
      </c>
      <c r="H18" s="21" t="s">
        <v>43</v>
      </c>
      <c r="I18" s="32" t="s">
        <v>17</v>
      </c>
    </row>
    <row r="19" spans="1:14" ht="178.5" customHeight="1" x14ac:dyDescent="0.25">
      <c r="A19" s="32">
        <v>1</v>
      </c>
      <c r="B19" s="94" t="s">
        <v>262</v>
      </c>
      <c r="C19" s="93" t="s">
        <v>261</v>
      </c>
      <c r="D19" s="94">
        <v>42</v>
      </c>
      <c r="E19" s="93" t="s">
        <v>263</v>
      </c>
      <c r="F19" s="147">
        <v>9402.9699999999993</v>
      </c>
      <c r="G19" s="148">
        <f>F19*828116</f>
        <v>7786749904.5199995</v>
      </c>
      <c r="H19" s="98" t="s">
        <v>264</v>
      </c>
      <c r="I19" s="8" t="s">
        <v>0</v>
      </c>
    </row>
    <row r="20" spans="1:14" ht="177" customHeight="1" x14ac:dyDescent="0.25">
      <c r="A20" s="32">
        <v>2</v>
      </c>
      <c r="B20" s="94" t="s">
        <v>265</v>
      </c>
      <c r="C20" s="93" t="s">
        <v>261</v>
      </c>
      <c r="D20" s="94">
        <v>70</v>
      </c>
      <c r="E20" s="93" t="s">
        <v>266</v>
      </c>
      <c r="F20" s="149">
        <v>10713.17</v>
      </c>
      <c r="G20" s="97">
        <f>+F20*828116*0.7</f>
        <v>6210223241.4039993</v>
      </c>
      <c r="H20" s="98" t="s">
        <v>267</v>
      </c>
      <c r="I20" s="8" t="s">
        <v>0</v>
      </c>
    </row>
    <row r="21" spans="1:14" ht="101.25" customHeight="1" x14ac:dyDescent="0.25">
      <c r="A21" s="32">
        <v>3</v>
      </c>
      <c r="B21" s="93" t="s">
        <v>268</v>
      </c>
      <c r="C21" s="93" t="s">
        <v>261</v>
      </c>
      <c r="D21" s="94">
        <v>72</v>
      </c>
      <c r="E21" s="93" t="s">
        <v>269</v>
      </c>
      <c r="F21" s="149">
        <v>2040.77</v>
      </c>
      <c r="G21" s="97">
        <f>F21*828116*0.5</f>
        <v>844997144.65999997</v>
      </c>
      <c r="H21" s="98" t="s">
        <v>270</v>
      </c>
      <c r="I21" s="8" t="s">
        <v>0</v>
      </c>
    </row>
    <row r="22" spans="1:14" ht="65.099999999999994" customHeight="1" x14ac:dyDescent="0.25">
      <c r="A22" s="32">
        <v>4</v>
      </c>
      <c r="B22" s="94"/>
      <c r="C22" s="93"/>
      <c r="D22" s="94"/>
      <c r="E22" s="93"/>
      <c r="F22" s="149"/>
      <c r="G22" s="97"/>
      <c r="H22" s="98"/>
      <c r="I22" s="8"/>
    </row>
    <row r="23" spans="1:14" ht="65.099999999999994" customHeight="1" x14ac:dyDescent="0.25">
      <c r="A23" s="32">
        <v>5</v>
      </c>
      <c r="B23" s="2"/>
      <c r="C23" s="2"/>
      <c r="D23" s="2"/>
      <c r="E23" s="2"/>
      <c r="F23" s="130"/>
      <c r="G23" s="131"/>
      <c r="H23" s="24"/>
      <c r="I23" s="132"/>
    </row>
    <row r="24" spans="1:14" ht="65.099999999999994" customHeight="1" x14ac:dyDescent="0.25">
      <c r="A24" s="32">
        <v>6</v>
      </c>
      <c r="B24" s="2"/>
      <c r="C24" s="2"/>
      <c r="D24" s="2"/>
      <c r="E24" s="2"/>
      <c r="F24" s="130"/>
      <c r="G24" s="131"/>
      <c r="H24" s="24"/>
      <c r="I24" s="132"/>
    </row>
    <row r="25" spans="1:14" x14ac:dyDescent="0.25">
      <c r="B25" s="2"/>
      <c r="D25" s="2"/>
      <c r="E25" s="32" t="s">
        <v>35</v>
      </c>
      <c r="F25" s="25">
        <f>SUM(F19:F24)</f>
        <v>22156.91</v>
      </c>
      <c r="G25" s="40">
        <f>SUM(G19:G24)</f>
        <v>14841970290.584</v>
      </c>
      <c r="H25" s="26"/>
    </row>
    <row r="26" spans="1:14" x14ac:dyDescent="0.25">
      <c r="B26" s="34"/>
      <c r="D26" s="34"/>
      <c r="E26" s="42" t="s">
        <v>18</v>
      </c>
      <c r="F26" s="43"/>
      <c r="G26" s="44">
        <f>+G25/828116</f>
        <v>17922.574000000001</v>
      </c>
      <c r="H26" s="41"/>
    </row>
    <row r="28" spans="1:14" ht="43.5" customHeight="1" x14ac:dyDescent="0.25">
      <c r="B28" s="305" t="s">
        <v>44</v>
      </c>
      <c r="C28" s="305"/>
      <c r="D28" s="305"/>
      <c r="E28" s="305"/>
      <c r="F28" s="305"/>
      <c r="G28" s="305"/>
      <c r="H28" s="306"/>
      <c r="I28" s="306"/>
      <c r="J28" s="306"/>
      <c r="K28" s="306"/>
      <c r="L28" s="306"/>
      <c r="M28" s="306"/>
      <c r="N28" s="306"/>
    </row>
    <row r="29" spans="1:14" ht="31.5" customHeight="1" x14ac:dyDescent="0.25">
      <c r="B29" s="307" t="s">
        <v>45</v>
      </c>
      <c r="C29" s="307"/>
      <c r="D29" s="307"/>
      <c r="E29" s="307"/>
      <c r="F29" s="307"/>
      <c r="G29" s="307"/>
      <c r="H29" s="308"/>
      <c r="I29" s="308"/>
      <c r="J29" s="308"/>
      <c r="K29" s="308"/>
      <c r="L29" s="308"/>
      <c r="M29" s="308"/>
      <c r="N29" s="308"/>
    </row>
    <row r="30" spans="1:14" ht="31.5" customHeight="1" x14ac:dyDescent="0.25">
      <c r="B30" s="307" t="s">
        <v>46</v>
      </c>
      <c r="C30" s="307"/>
      <c r="D30" s="307"/>
      <c r="E30" s="307"/>
      <c r="F30" s="307"/>
      <c r="G30" s="307"/>
      <c r="H30" s="309"/>
      <c r="I30" s="309"/>
      <c r="J30" s="309"/>
      <c r="K30" s="309"/>
      <c r="L30" s="309"/>
      <c r="M30" s="309"/>
      <c r="N30" s="309"/>
    </row>
    <row r="31" spans="1:14" ht="34.5" customHeight="1" x14ac:dyDescent="0.25">
      <c r="B31" s="307" t="s">
        <v>47</v>
      </c>
      <c r="C31" s="310"/>
      <c r="D31" s="310"/>
      <c r="E31" s="310"/>
      <c r="F31" s="310"/>
      <c r="G31" s="310"/>
      <c r="H31" s="309"/>
      <c r="I31" s="309"/>
      <c r="J31" s="309"/>
      <c r="K31" s="309"/>
      <c r="L31" s="309"/>
      <c r="M31" s="309"/>
      <c r="N31" s="309"/>
    </row>
    <row r="32" spans="1:14" ht="34.5" customHeight="1" x14ac:dyDescent="0.25">
      <c r="B32" s="307" t="s">
        <v>48</v>
      </c>
      <c r="C32" s="310"/>
      <c r="D32" s="310"/>
      <c r="E32" s="310"/>
      <c r="F32" s="310"/>
      <c r="G32" s="310"/>
      <c r="H32" s="309"/>
      <c r="I32" s="309"/>
      <c r="J32" s="309"/>
      <c r="K32" s="309"/>
      <c r="L32" s="309"/>
      <c r="M32" s="309"/>
      <c r="N32" s="309"/>
    </row>
    <row r="33" spans="2:10" x14ac:dyDescent="0.25">
      <c r="B33" s="27"/>
      <c r="G33" s="28"/>
    </row>
    <row r="36" spans="2:10" x14ac:dyDescent="0.25">
      <c r="B36" s="311" t="s">
        <v>49</v>
      </c>
      <c r="C36" s="311"/>
      <c r="D36" s="311"/>
    </row>
    <row r="37" spans="2:10" x14ac:dyDescent="0.25">
      <c r="B37" s="20"/>
    </row>
    <row r="42" spans="2:10" x14ac:dyDescent="0.25">
      <c r="H42" s="29"/>
      <c r="I42" s="30"/>
      <c r="J42" s="31"/>
    </row>
    <row r="43" spans="2:10" x14ac:dyDescent="0.25">
      <c r="H43" s="29"/>
      <c r="I43" s="30"/>
      <c r="J43" s="31"/>
    </row>
  </sheetData>
  <mergeCells count="20">
    <mergeCell ref="B2:I2"/>
    <mergeCell ref="B3:I3"/>
    <mergeCell ref="B4:I4"/>
    <mergeCell ref="E6:F6"/>
    <mergeCell ref="C7:C8"/>
    <mergeCell ref="D7:D8"/>
    <mergeCell ref="E7:F8"/>
    <mergeCell ref="G7:G9"/>
    <mergeCell ref="E9:F9"/>
    <mergeCell ref="B28:G28"/>
    <mergeCell ref="H28:N28"/>
    <mergeCell ref="B29:G29"/>
    <mergeCell ref="H29:N29"/>
    <mergeCell ref="B30:G30"/>
    <mergeCell ref="H30:N30"/>
    <mergeCell ref="B31:G31"/>
    <mergeCell ref="H31:N31"/>
    <mergeCell ref="B32:G32"/>
    <mergeCell ref="H32:N32"/>
    <mergeCell ref="B36:D36"/>
  </mergeCells>
  <pageMargins left="0.7" right="0.7" top="0.75" bottom="0.75" header="0.3" footer="0.3"/>
  <pageSetup scale="32"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43"/>
  <sheetViews>
    <sheetView view="pageBreakPreview" topLeftCell="A13" zoomScale="60" zoomScaleNormal="100" workbookViewId="0">
      <selection activeCell="G20" sqref="G20"/>
    </sheetView>
  </sheetViews>
  <sheetFormatPr baseColWidth="10" defaultRowHeight="15" x14ac:dyDescent="0.25"/>
  <cols>
    <col min="1" max="1" width="7.5703125" style="20" customWidth="1"/>
    <col min="2" max="2" width="25.5703125" style="22" customWidth="1"/>
    <col min="3" max="3" width="30" style="22" customWidth="1"/>
    <col min="4" max="4" width="18.7109375" style="20" customWidth="1"/>
    <col min="5" max="5" width="55.42578125" style="20" customWidth="1"/>
    <col min="6" max="6" width="25.140625" style="20" customWidth="1"/>
    <col min="7" max="7" width="34" style="20" bestFit="1" customWidth="1"/>
    <col min="8" max="8" width="17.5703125" style="20" customWidth="1"/>
    <col min="9" max="9" width="50.28515625" style="20" customWidth="1"/>
    <col min="10" max="10" width="11.42578125" style="20"/>
    <col min="11" max="11" width="12.28515625" style="20" bestFit="1" customWidth="1"/>
    <col min="12" max="12" width="11.42578125" style="20"/>
    <col min="13" max="13" width="10.85546875" style="20" bestFit="1" customWidth="1"/>
    <col min="14" max="14" width="6.28515625" style="20" customWidth="1"/>
    <col min="15" max="16384" width="11.42578125" style="20"/>
  </cols>
  <sheetData>
    <row r="2" spans="2:9" ht="23.25" x14ac:dyDescent="0.25">
      <c r="B2" s="293" t="s">
        <v>26</v>
      </c>
      <c r="C2" s="293"/>
      <c r="D2" s="293"/>
      <c r="E2" s="293"/>
      <c r="F2" s="293"/>
      <c r="G2" s="293"/>
      <c r="H2" s="293"/>
      <c r="I2" s="293"/>
    </row>
    <row r="3" spans="2:9" ht="23.25" x14ac:dyDescent="0.25">
      <c r="B3" s="293" t="s">
        <v>37</v>
      </c>
      <c r="C3" s="293"/>
      <c r="D3" s="293"/>
      <c r="E3" s="293"/>
      <c r="F3" s="293"/>
      <c r="G3" s="293"/>
      <c r="H3" s="293"/>
      <c r="I3" s="293"/>
    </row>
    <row r="4" spans="2:9" ht="23.25" x14ac:dyDescent="0.25">
      <c r="B4" s="293" t="s">
        <v>27</v>
      </c>
      <c r="C4" s="293"/>
      <c r="D4" s="293"/>
      <c r="E4" s="293"/>
      <c r="F4" s="293"/>
      <c r="G4" s="293"/>
      <c r="H4" s="293"/>
      <c r="I4" s="293"/>
    </row>
    <row r="5" spans="2:9" ht="15.75" thickBot="1" x14ac:dyDescent="0.3"/>
    <row r="6" spans="2:9" ht="90" customHeight="1" x14ac:dyDescent="0.25">
      <c r="B6" s="63" t="s">
        <v>260</v>
      </c>
      <c r="C6" s="124" t="s">
        <v>271</v>
      </c>
      <c r="D6" s="66" t="s">
        <v>50</v>
      </c>
      <c r="E6" s="294" t="s">
        <v>52</v>
      </c>
      <c r="F6" s="295"/>
      <c r="G6" s="45" t="s">
        <v>0</v>
      </c>
      <c r="H6" s="109"/>
      <c r="I6" s="109"/>
    </row>
    <row r="7" spans="2:9" ht="34.5" customHeight="1" x14ac:dyDescent="0.25">
      <c r="B7" s="64"/>
      <c r="C7" s="340" t="s">
        <v>271</v>
      </c>
      <c r="D7" s="342">
        <v>1</v>
      </c>
      <c r="E7" s="296" t="s">
        <v>53</v>
      </c>
      <c r="F7" s="297"/>
      <c r="G7" s="300" t="s">
        <v>1</v>
      </c>
      <c r="H7" s="33"/>
      <c r="I7" s="34"/>
    </row>
    <row r="8" spans="2:9" ht="58.5" customHeight="1" x14ac:dyDescent="0.25">
      <c r="B8" s="64"/>
      <c r="C8" s="341"/>
      <c r="D8" s="343"/>
      <c r="E8" s="298"/>
      <c r="F8" s="299"/>
      <c r="G8" s="301"/>
      <c r="H8" s="35"/>
      <c r="I8" s="34"/>
    </row>
    <row r="9" spans="2:9" ht="39.75" customHeight="1" thickBot="1" x14ac:dyDescent="0.3">
      <c r="B9" s="65"/>
      <c r="C9" s="69"/>
      <c r="D9" s="125"/>
      <c r="E9" s="303" t="s">
        <v>51</v>
      </c>
      <c r="F9" s="304"/>
      <c r="G9" s="302"/>
      <c r="H9" s="35"/>
      <c r="I9" s="34"/>
    </row>
    <row r="11" spans="2:9" x14ac:dyDescent="0.25">
      <c r="B11" s="21" t="s">
        <v>28</v>
      </c>
      <c r="C11" s="32" t="s">
        <v>29</v>
      </c>
      <c r="D11" s="32" t="s">
        <v>18</v>
      </c>
      <c r="E11" s="32" t="s">
        <v>0</v>
      </c>
    </row>
    <row r="12" spans="2:9" x14ac:dyDescent="0.25">
      <c r="B12" s="36" t="s">
        <v>30</v>
      </c>
      <c r="C12" s="37">
        <v>5437884572</v>
      </c>
      <c r="D12" s="38">
        <f>+C12/828116</f>
        <v>6566.5734897043412</v>
      </c>
      <c r="E12" s="38"/>
    </row>
    <row r="13" spans="2:9" x14ac:dyDescent="0.25">
      <c r="B13" s="36" t="s">
        <v>38</v>
      </c>
      <c r="C13" s="37">
        <f>+C12*0.75</f>
        <v>4078413429</v>
      </c>
      <c r="D13" s="38">
        <f>+C13/828116</f>
        <v>4924.9301172782561</v>
      </c>
      <c r="E13" s="126" t="s">
        <v>0</v>
      </c>
    </row>
    <row r="14" spans="2:9" x14ac:dyDescent="0.25">
      <c r="B14" s="36" t="s">
        <v>39</v>
      </c>
      <c r="C14" s="37">
        <f>+C12*1.2</f>
        <v>6525461486.3999996</v>
      </c>
      <c r="D14" s="38">
        <f>+C14/828116</f>
        <v>7879.8881876452087</v>
      </c>
      <c r="E14" s="150"/>
    </row>
    <row r="15" spans="2:9" x14ac:dyDescent="0.25">
      <c r="B15" s="36" t="s">
        <v>245</v>
      </c>
      <c r="C15" s="37">
        <f>+C12*1.5</f>
        <v>8156826858</v>
      </c>
      <c r="D15" s="38">
        <f>+C15/828116</f>
        <v>9849.8602345565123</v>
      </c>
      <c r="E15" s="38"/>
    </row>
    <row r="17" spans="1:14" x14ac:dyDescent="0.25">
      <c r="B17" s="23" t="s">
        <v>31</v>
      </c>
      <c r="C17" s="23"/>
      <c r="D17" s="23"/>
    </row>
    <row r="18" spans="1:14" ht="30" x14ac:dyDescent="0.25">
      <c r="B18" s="32" t="s">
        <v>32</v>
      </c>
      <c r="C18" s="21" t="s">
        <v>33</v>
      </c>
      <c r="D18" s="32" t="s">
        <v>34</v>
      </c>
      <c r="E18" s="21" t="s">
        <v>54</v>
      </c>
      <c r="F18" s="21" t="s">
        <v>41</v>
      </c>
      <c r="G18" s="21" t="s">
        <v>42</v>
      </c>
      <c r="H18" s="21" t="s">
        <v>43</v>
      </c>
      <c r="I18" s="32" t="s">
        <v>17</v>
      </c>
    </row>
    <row r="19" spans="1:14" ht="178.5" customHeight="1" x14ac:dyDescent="0.25">
      <c r="A19" s="32">
        <v>1</v>
      </c>
      <c r="B19" s="94">
        <v>509</v>
      </c>
      <c r="C19" s="93" t="s">
        <v>232</v>
      </c>
      <c r="D19" s="94">
        <v>23</v>
      </c>
      <c r="E19" s="93" t="s">
        <v>272</v>
      </c>
      <c r="F19" s="147">
        <v>7042.8</v>
      </c>
      <c r="G19" s="148">
        <f>F19*828116</f>
        <v>5832255364.8000002</v>
      </c>
      <c r="H19" s="98" t="s">
        <v>273</v>
      </c>
      <c r="I19" s="8" t="s">
        <v>0</v>
      </c>
    </row>
    <row r="20" spans="1:14" ht="177" customHeight="1" x14ac:dyDescent="0.25">
      <c r="A20" s="32">
        <v>2</v>
      </c>
      <c r="B20" s="94">
        <v>807</v>
      </c>
      <c r="C20" s="93" t="s">
        <v>232</v>
      </c>
      <c r="D20" s="94">
        <v>33</v>
      </c>
      <c r="E20" s="93" t="s">
        <v>274</v>
      </c>
      <c r="F20" s="149">
        <v>5980.71</v>
      </c>
      <c r="G20" s="148">
        <f>F20*828116</f>
        <v>4952721642.3599997</v>
      </c>
      <c r="H20" s="98" t="s">
        <v>275</v>
      </c>
      <c r="I20" s="8" t="s">
        <v>276</v>
      </c>
    </row>
    <row r="21" spans="1:14" ht="101.25" customHeight="1" x14ac:dyDescent="0.25">
      <c r="A21" s="32">
        <v>3</v>
      </c>
      <c r="B21" s="93"/>
      <c r="C21" s="93"/>
      <c r="D21" s="94"/>
      <c r="E21" s="93"/>
      <c r="F21" s="149"/>
      <c r="G21" s="97"/>
      <c r="H21" s="98"/>
      <c r="I21" s="8"/>
    </row>
    <row r="22" spans="1:14" ht="65.099999999999994" customHeight="1" x14ac:dyDescent="0.25">
      <c r="A22" s="32">
        <v>4</v>
      </c>
      <c r="B22" s="94"/>
      <c r="C22" s="93"/>
      <c r="D22" s="94"/>
      <c r="E22" s="93"/>
      <c r="F22" s="149"/>
      <c r="G22" s="97"/>
      <c r="H22" s="98"/>
      <c r="I22" s="8"/>
    </row>
    <row r="23" spans="1:14" ht="65.099999999999994" customHeight="1" x14ac:dyDescent="0.25">
      <c r="A23" s="32">
        <v>5</v>
      </c>
      <c r="B23" s="2"/>
      <c r="C23" s="2"/>
      <c r="D23" s="2"/>
      <c r="E23" s="2"/>
      <c r="F23" s="130"/>
      <c r="G23" s="131"/>
      <c r="H23" s="24"/>
      <c r="I23" s="132"/>
    </row>
    <row r="24" spans="1:14" ht="65.099999999999994" customHeight="1" x14ac:dyDescent="0.25">
      <c r="A24" s="32">
        <v>6</v>
      </c>
      <c r="B24" s="2"/>
      <c r="C24" s="2"/>
      <c r="D24" s="2"/>
      <c r="E24" s="2"/>
      <c r="F24" s="130"/>
      <c r="G24" s="131"/>
      <c r="H24" s="24"/>
      <c r="I24" s="132"/>
    </row>
    <row r="25" spans="1:14" x14ac:dyDescent="0.25">
      <c r="B25" s="2"/>
      <c r="D25" s="2"/>
      <c r="E25" s="32" t="s">
        <v>35</v>
      </c>
      <c r="F25" s="25">
        <f>SUM(F19:F24)</f>
        <v>13023.51</v>
      </c>
      <c r="G25" s="40">
        <f>SUM(G19:G24)</f>
        <v>10784977007.16</v>
      </c>
      <c r="H25" s="26"/>
    </row>
    <row r="26" spans="1:14" x14ac:dyDescent="0.25">
      <c r="B26" s="34"/>
      <c r="D26" s="34"/>
      <c r="E26" s="42" t="s">
        <v>18</v>
      </c>
      <c r="F26" s="43"/>
      <c r="G26" s="44">
        <f>+G25/828116</f>
        <v>13023.51</v>
      </c>
      <c r="H26" s="41"/>
    </row>
    <row r="28" spans="1:14" ht="43.5" customHeight="1" x14ac:dyDescent="0.25">
      <c r="B28" s="305" t="s">
        <v>44</v>
      </c>
      <c r="C28" s="305"/>
      <c r="D28" s="305"/>
      <c r="E28" s="305"/>
      <c r="F28" s="305"/>
      <c r="G28" s="305"/>
      <c r="H28" s="306"/>
      <c r="I28" s="306"/>
      <c r="J28" s="306"/>
      <c r="K28" s="306"/>
      <c r="L28" s="306"/>
      <c r="M28" s="306"/>
      <c r="N28" s="306"/>
    </row>
    <row r="29" spans="1:14" ht="31.5" customHeight="1" x14ac:dyDescent="0.25">
      <c r="B29" s="307" t="s">
        <v>45</v>
      </c>
      <c r="C29" s="307"/>
      <c r="D29" s="307"/>
      <c r="E29" s="307"/>
      <c r="F29" s="307"/>
      <c r="G29" s="307"/>
      <c r="H29" s="308"/>
      <c r="I29" s="308"/>
      <c r="J29" s="308"/>
      <c r="K29" s="308"/>
      <c r="L29" s="308"/>
      <c r="M29" s="308"/>
      <c r="N29" s="308"/>
    </row>
    <row r="30" spans="1:14" ht="31.5" customHeight="1" x14ac:dyDescent="0.25">
      <c r="B30" s="307" t="s">
        <v>46</v>
      </c>
      <c r="C30" s="307"/>
      <c r="D30" s="307"/>
      <c r="E30" s="307"/>
      <c r="F30" s="307"/>
      <c r="G30" s="307"/>
      <c r="H30" s="309"/>
      <c r="I30" s="309"/>
      <c r="J30" s="309"/>
      <c r="K30" s="309"/>
      <c r="L30" s="309"/>
      <c r="M30" s="309"/>
      <c r="N30" s="309"/>
    </row>
    <row r="31" spans="1:14" ht="34.5" customHeight="1" x14ac:dyDescent="0.25">
      <c r="B31" s="307" t="s">
        <v>47</v>
      </c>
      <c r="C31" s="310"/>
      <c r="D31" s="310"/>
      <c r="E31" s="310"/>
      <c r="F31" s="310"/>
      <c r="G31" s="310"/>
      <c r="H31" s="309"/>
      <c r="I31" s="309"/>
      <c r="J31" s="309"/>
      <c r="K31" s="309"/>
      <c r="L31" s="309"/>
      <c r="M31" s="309"/>
      <c r="N31" s="309"/>
    </row>
    <row r="32" spans="1:14" ht="34.5" customHeight="1" x14ac:dyDescent="0.25">
      <c r="B32" s="307" t="s">
        <v>48</v>
      </c>
      <c r="C32" s="310"/>
      <c r="D32" s="310"/>
      <c r="E32" s="310"/>
      <c r="F32" s="310"/>
      <c r="G32" s="310"/>
      <c r="H32" s="309"/>
      <c r="I32" s="309"/>
      <c r="J32" s="309"/>
      <c r="K32" s="309"/>
      <c r="L32" s="309"/>
      <c r="M32" s="309"/>
      <c r="N32" s="309"/>
    </row>
    <row r="33" spans="2:10" x14ac:dyDescent="0.25">
      <c r="B33" s="27"/>
      <c r="G33" s="28"/>
    </row>
    <row r="36" spans="2:10" x14ac:dyDescent="0.25">
      <c r="B36" s="311" t="s">
        <v>49</v>
      </c>
      <c r="C36" s="311"/>
      <c r="D36" s="311"/>
    </row>
    <row r="37" spans="2:10" x14ac:dyDescent="0.25">
      <c r="B37" s="20"/>
    </row>
    <row r="42" spans="2:10" x14ac:dyDescent="0.25">
      <c r="H42" s="29"/>
      <c r="I42" s="30"/>
      <c r="J42" s="31"/>
    </row>
    <row r="43" spans="2:10" x14ac:dyDescent="0.25">
      <c r="H43" s="29"/>
      <c r="I43" s="30"/>
      <c r="J43" s="31"/>
    </row>
  </sheetData>
  <mergeCells count="20">
    <mergeCell ref="B2:I2"/>
    <mergeCell ref="B3:I3"/>
    <mergeCell ref="B4:I4"/>
    <mergeCell ref="E6:F6"/>
    <mergeCell ref="C7:C8"/>
    <mergeCell ref="D7:D8"/>
    <mergeCell ref="E7:F8"/>
    <mergeCell ref="G7:G9"/>
    <mergeCell ref="E9:F9"/>
    <mergeCell ref="B28:G28"/>
    <mergeCell ref="H28:N28"/>
    <mergeCell ref="B29:G29"/>
    <mergeCell ref="H29:N29"/>
    <mergeCell ref="B30:G30"/>
    <mergeCell ref="H30:N30"/>
    <mergeCell ref="B31:G31"/>
    <mergeCell ref="H31:N31"/>
    <mergeCell ref="B32:G32"/>
    <mergeCell ref="H32:N32"/>
    <mergeCell ref="B36:D36"/>
  </mergeCells>
  <pageMargins left="0.7" right="0.7" top="0.75" bottom="0.75" header="0.3" footer="0.3"/>
  <pageSetup scale="32"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0"/>
  <sheetViews>
    <sheetView topLeftCell="A44" zoomScale="70" zoomScaleNormal="70" workbookViewId="0">
      <selection activeCell="F63" sqref="F63"/>
    </sheetView>
  </sheetViews>
  <sheetFormatPr baseColWidth="10" defaultColWidth="49.28515625" defaultRowHeight="15" x14ac:dyDescent="0.2"/>
  <cols>
    <col min="1" max="1" width="10.42578125" style="51" customWidth="1"/>
    <col min="2" max="2" width="56.85546875" style="1" customWidth="1"/>
    <col min="3" max="3" width="24.42578125" style="48" customWidth="1"/>
    <col min="4" max="4" width="27" style="1" customWidth="1"/>
    <col min="5" max="5" width="25.7109375" style="1" customWidth="1"/>
    <col min="6" max="6" width="28.140625" style="1" customWidth="1"/>
    <col min="7" max="7" width="26.28515625" style="1" customWidth="1"/>
    <col min="8" max="8" width="43.42578125" style="1" customWidth="1"/>
    <col min="9" max="9" width="24.7109375" style="1" customWidth="1"/>
    <col min="10" max="10" width="26.140625" style="1" customWidth="1"/>
    <col min="11" max="16384" width="49.28515625" style="1"/>
  </cols>
  <sheetData>
    <row r="1" spans="1:11" ht="46.5" customHeight="1" thickBot="1" x14ac:dyDescent="0.45">
      <c r="A1" s="344" t="s">
        <v>55</v>
      </c>
      <c r="B1" s="345"/>
      <c r="C1" s="345"/>
      <c r="D1" s="345"/>
      <c r="E1" s="345"/>
      <c r="F1" s="345"/>
      <c r="G1" s="345"/>
      <c r="H1" s="345"/>
      <c r="I1" s="345"/>
      <c r="J1" s="346"/>
    </row>
    <row r="2" spans="1:11" ht="219" customHeight="1" thickBot="1" x14ac:dyDescent="0.25">
      <c r="A2" s="54"/>
      <c r="B2" s="376" t="s">
        <v>64</v>
      </c>
      <c r="C2" s="377"/>
      <c r="D2" s="377"/>
      <c r="E2" s="377"/>
      <c r="F2" s="377"/>
      <c r="G2" s="377"/>
      <c r="H2" s="377"/>
      <c r="I2" s="377"/>
      <c r="J2" s="378"/>
    </row>
    <row r="3" spans="1:11" s="57" customFormat="1" ht="21" thickBot="1" x14ac:dyDescent="0.35">
      <c r="A3" s="55" t="s">
        <v>85</v>
      </c>
      <c r="B3" s="56" t="s">
        <v>19</v>
      </c>
      <c r="C3" s="56" t="s">
        <v>20</v>
      </c>
      <c r="D3" s="380" t="s">
        <v>83</v>
      </c>
      <c r="E3" s="380"/>
      <c r="F3" s="380"/>
      <c r="G3" s="380"/>
      <c r="H3" s="380" t="s">
        <v>84</v>
      </c>
      <c r="I3" s="380"/>
      <c r="J3" s="381"/>
    </row>
    <row r="4" spans="1:11" ht="175.5" customHeight="1" x14ac:dyDescent="0.2">
      <c r="A4" s="356">
        <v>4.0999999999999996</v>
      </c>
      <c r="B4" s="371" t="s">
        <v>56</v>
      </c>
      <c r="C4" s="385" t="s">
        <v>57</v>
      </c>
      <c r="D4" s="356" t="s">
        <v>63</v>
      </c>
      <c r="E4" s="357"/>
      <c r="F4" s="357"/>
      <c r="G4" s="358"/>
      <c r="H4" s="376" t="s">
        <v>68</v>
      </c>
      <c r="I4" s="387"/>
      <c r="J4" s="388"/>
    </row>
    <row r="5" spans="1:11" ht="297" customHeight="1" thickBot="1" x14ac:dyDescent="0.25">
      <c r="A5" s="356"/>
      <c r="B5" s="372"/>
      <c r="C5" s="386"/>
      <c r="D5" s="350"/>
      <c r="E5" s="351"/>
      <c r="F5" s="351"/>
      <c r="G5" s="352"/>
      <c r="H5" s="389" t="s">
        <v>62</v>
      </c>
      <c r="I5" s="390"/>
      <c r="J5" s="391"/>
    </row>
    <row r="6" spans="1:11" ht="175.5" customHeight="1" thickBot="1" x14ac:dyDescent="0.25">
      <c r="A6" s="52">
        <v>4.2</v>
      </c>
      <c r="B6" s="53" t="s">
        <v>58</v>
      </c>
      <c r="C6" s="46"/>
      <c r="D6" s="367" t="s">
        <v>61</v>
      </c>
      <c r="E6" s="368"/>
      <c r="F6" s="368"/>
      <c r="G6" s="368"/>
      <c r="H6" s="368"/>
      <c r="I6" s="368"/>
      <c r="J6" s="369"/>
    </row>
    <row r="7" spans="1:11" ht="408.75" customHeight="1" thickBot="1" x14ac:dyDescent="0.25">
      <c r="A7" s="52" t="s">
        <v>65</v>
      </c>
      <c r="B7" s="50" t="s">
        <v>75</v>
      </c>
      <c r="C7" s="46" t="s">
        <v>59</v>
      </c>
      <c r="D7" s="373" t="s">
        <v>66</v>
      </c>
      <c r="E7" s="374"/>
      <c r="F7" s="374"/>
      <c r="G7" s="375"/>
      <c r="H7" s="382" t="s">
        <v>67</v>
      </c>
      <c r="I7" s="383"/>
      <c r="J7" s="384"/>
    </row>
    <row r="8" spans="1:11" ht="175.5" customHeight="1" thickBot="1" x14ac:dyDescent="0.25">
      <c r="A8" s="52" t="s">
        <v>69</v>
      </c>
      <c r="B8" s="50" t="s">
        <v>74</v>
      </c>
      <c r="C8" s="46" t="s">
        <v>60</v>
      </c>
      <c r="D8" s="353" t="s">
        <v>71</v>
      </c>
      <c r="E8" s="354"/>
      <c r="F8" s="354"/>
      <c r="G8" s="355"/>
      <c r="H8" s="350" t="s">
        <v>72</v>
      </c>
      <c r="I8" s="351"/>
      <c r="J8" s="352"/>
    </row>
    <row r="9" spans="1:11" ht="141.75" customHeight="1" thickBot="1" x14ac:dyDescent="0.25">
      <c r="A9" s="52" t="s">
        <v>70</v>
      </c>
      <c r="B9" s="53" t="s">
        <v>73</v>
      </c>
      <c r="C9" s="46" t="s">
        <v>60</v>
      </c>
      <c r="D9" s="353" t="s">
        <v>76</v>
      </c>
      <c r="E9" s="354"/>
      <c r="F9" s="354"/>
      <c r="G9" s="355"/>
      <c r="H9" s="356" t="s">
        <v>77</v>
      </c>
      <c r="I9" s="357"/>
      <c r="J9" s="358"/>
    </row>
    <row r="10" spans="1:11" ht="306.75" customHeight="1" thickBot="1" x14ac:dyDescent="0.25">
      <c r="A10" s="359">
        <v>4.3</v>
      </c>
      <c r="B10" s="362" t="s">
        <v>23</v>
      </c>
      <c r="C10" s="370" t="s">
        <v>22</v>
      </c>
      <c r="D10" s="365" t="s">
        <v>78</v>
      </c>
      <c r="E10" s="366"/>
      <c r="F10" s="366"/>
      <c r="G10" s="366"/>
      <c r="H10" s="367" t="s">
        <v>80</v>
      </c>
      <c r="I10" s="368"/>
      <c r="J10" s="369"/>
    </row>
    <row r="11" spans="1:11" ht="306.75" customHeight="1" x14ac:dyDescent="0.2">
      <c r="A11" s="360"/>
      <c r="B11" s="363"/>
      <c r="C11" s="371"/>
      <c r="D11" s="356"/>
      <c r="E11" s="357"/>
      <c r="F11" s="357"/>
      <c r="G11" s="357"/>
      <c r="H11" s="365" t="s">
        <v>81</v>
      </c>
      <c r="I11" s="366"/>
      <c r="J11" s="379"/>
    </row>
    <row r="12" spans="1:11" ht="409.5" customHeight="1" thickBot="1" x14ac:dyDescent="0.25">
      <c r="A12" s="361"/>
      <c r="B12" s="364"/>
      <c r="C12" s="372"/>
      <c r="D12" s="350"/>
      <c r="E12" s="351"/>
      <c r="F12" s="351"/>
      <c r="G12" s="351"/>
      <c r="H12" s="347" t="s">
        <v>82</v>
      </c>
      <c r="I12" s="348"/>
      <c r="J12" s="349"/>
    </row>
    <row r="13" spans="1:11" ht="191.25" customHeight="1" thickBot="1" x14ac:dyDescent="0.25">
      <c r="A13" s="52">
        <v>4.4000000000000004</v>
      </c>
      <c r="B13" s="58" t="s">
        <v>86</v>
      </c>
      <c r="C13" s="47" t="s">
        <v>79</v>
      </c>
      <c r="D13" s="353" t="s">
        <v>87</v>
      </c>
      <c r="E13" s="354"/>
      <c r="F13" s="354"/>
      <c r="G13" s="355"/>
      <c r="H13" s="353" t="s">
        <v>88</v>
      </c>
      <c r="I13" s="354"/>
      <c r="J13" s="355"/>
    </row>
    <row r="14" spans="1:11" ht="27.75" thickBot="1" x14ac:dyDescent="0.25">
      <c r="B14" s="62" t="s">
        <v>24</v>
      </c>
      <c r="C14" s="62" t="s">
        <v>21</v>
      </c>
    </row>
    <row r="15" spans="1:11" ht="15.75" customHeight="1" thickBot="1" x14ac:dyDescent="0.25"/>
    <row r="16" spans="1:11" ht="48.75" customHeight="1" thickBot="1" x14ac:dyDescent="0.25">
      <c r="A16" s="395" t="s">
        <v>85</v>
      </c>
      <c r="B16" s="395" t="s">
        <v>16</v>
      </c>
      <c r="C16" s="403" t="s">
        <v>90</v>
      </c>
      <c r="D16" s="404"/>
      <c r="E16" s="392" t="s">
        <v>89</v>
      </c>
      <c r="F16" s="393"/>
      <c r="G16" s="394"/>
      <c r="H16" s="395" t="s">
        <v>94</v>
      </c>
      <c r="I16" s="395" t="s">
        <v>95</v>
      </c>
      <c r="J16" s="395" t="s">
        <v>25</v>
      </c>
      <c r="K16" s="395" t="s">
        <v>17</v>
      </c>
    </row>
    <row r="17" spans="1:11" ht="149.25" customHeight="1" thickBot="1" x14ac:dyDescent="0.25">
      <c r="A17" s="396"/>
      <c r="B17" s="396"/>
      <c r="C17" s="405"/>
      <c r="D17" s="406"/>
      <c r="E17" s="116" t="s">
        <v>91</v>
      </c>
      <c r="F17" s="116" t="s">
        <v>92</v>
      </c>
      <c r="G17" s="116" t="s">
        <v>93</v>
      </c>
      <c r="H17" s="396"/>
      <c r="I17" s="396"/>
      <c r="J17" s="396"/>
      <c r="K17" s="396"/>
    </row>
    <row r="18" spans="1:11" ht="35.1" customHeight="1" x14ac:dyDescent="0.2">
      <c r="A18" s="121">
        <v>1</v>
      </c>
      <c r="B18" s="112" t="str">
        <f>+'[1]PROPONENTE 1'!C6</f>
        <v>UT MALLA VIAL MARTIRES</v>
      </c>
      <c r="C18" s="408"/>
      <c r="D18" s="408"/>
      <c r="E18" s="110">
        <v>9</v>
      </c>
      <c r="F18" s="110">
        <v>5</v>
      </c>
      <c r="G18" s="110">
        <v>5</v>
      </c>
      <c r="H18" s="110">
        <v>10</v>
      </c>
      <c r="I18" s="110">
        <v>0</v>
      </c>
      <c r="J18" s="110">
        <f>+E18+F18+G18+H18+I18+C18</f>
        <v>29</v>
      </c>
      <c r="K18" s="111" t="s">
        <v>174</v>
      </c>
    </row>
    <row r="19" spans="1:11" ht="35.1" customHeight="1" x14ac:dyDescent="0.2">
      <c r="A19" s="61">
        <v>2</v>
      </c>
      <c r="B19" s="112" t="s">
        <v>175</v>
      </c>
      <c r="C19" s="397"/>
      <c r="D19" s="397"/>
      <c r="E19" s="113">
        <v>9</v>
      </c>
      <c r="F19" s="113">
        <v>5</v>
      </c>
      <c r="G19" s="113">
        <v>5</v>
      </c>
      <c r="H19" s="113">
        <v>10</v>
      </c>
      <c r="I19" s="113">
        <v>1</v>
      </c>
      <c r="J19" s="113">
        <f t="shared" ref="J19:J22" si="0">+E19+F19+G19+H19+I19+C19</f>
        <v>30</v>
      </c>
      <c r="K19" s="114"/>
    </row>
    <row r="20" spans="1:11" ht="35.1" customHeight="1" x14ac:dyDescent="0.2">
      <c r="A20" s="61">
        <v>3</v>
      </c>
      <c r="B20" s="112" t="s">
        <v>176</v>
      </c>
      <c r="C20" s="397"/>
      <c r="D20" s="397"/>
      <c r="E20" s="113">
        <v>9</v>
      </c>
      <c r="F20" s="113">
        <v>5</v>
      </c>
      <c r="G20" s="113">
        <v>5</v>
      </c>
      <c r="H20" s="113">
        <v>10</v>
      </c>
      <c r="I20" s="113">
        <v>0</v>
      </c>
      <c r="J20" s="113">
        <f t="shared" si="0"/>
        <v>29</v>
      </c>
      <c r="K20" s="114" t="s">
        <v>177</v>
      </c>
    </row>
    <row r="21" spans="1:11" ht="35.1" customHeight="1" x14ac:dyDescent="0.2">
      <c r="A21" s="61">
        <v>4</v>
      </c>
      <c r="B21" s="112" t="s">
        <v>178</v>
      </c>
      <c r="C21" s="397"/>
      <c r="D21" s="397"/>
      <c r="E21" s="113">
        <v>9</v>
      </c>
      <c r="F21" s="113">
        <v>5</v>
      </c>
      <c r="G21" s="113">
        <v>5</v>
      </c>
      <c r="H21" s="113">
        <v>10</v>
      </c>
      <c r="I21" s="113">
        <v>1</v>
      </c>
      <c r="J21" s="113">
        <f t="shared" si="0"/>
        <v>30</v>
      </c>
      <c r="K21" s="114"/>
    </row>
    <row r="22" spans="1:11" ht="35.1" customHeight="1" x14ac:dyDescent="0.2">
      <c r="A22" s="61">
        <v>5</v>
      </c>
      <c r="B22" s="112" t="s">
        <v>179</v>
      </c>
      <c r="C22" s="397"/>
      <c r="D22" s="397"/>
      <c r="E22" s="113">
        <v>9</v>
      </c>
      <c r="F22" s="113">
        <v>5</v>
      </c>
      <c r="G22" s="113">
        <v>5</v>
      </c>
      <c r="H22" s="113">
        <v>10</v>
      </c>
      <c r="I22" s="113">
        <v>1</v>
      </c>
      <c r="J22" s="113">
        <f t="shared" si="0"/>
        <v>30</v>
      </c>
      <c r="K22" s="114"/>
    </row>
    <row r="23" spans="1:11" ht="35.1" customHeight="1" x14ac:dyDescent="0.25">
      <c r="A23" s="61">
        <v>6</v>
      </c>
      <c r="B23" s="112" t="s">
        <v>436</v>
      </c>
      <c r="C23" s="398"/>
      <c r="D23" s="399"/>
      <c r="E23" s="140">
        <v>9</v>
      </c>
      <c r="F23" s="140">
        <v>5</v>
      </c>
      <c r="G23" s="139">
        <v>5</v>
      </c>
      <c r="H23" s="140">
        <v>10</v>
      </c>
      <c r="I23" s="141">
        <v>1</v>
      </c>
      <c r="J23" s="117">
        <f>+E23+F23+G23+H23+I23+C23</f>
        <v>30</v>
      </c>
      <c r="K23" s="114"/>
    </row>
    <row r="24" spans="1:11" ht="35.1" customHeight="1" x14ac:dyDescent="0.25">
      <c r="A24" s="61">
        <v>7</v>
      </c>
      <c r="B24" s="112" t="s">
        <v>479</v>
      </c>
      <c r="C24" s="400"/>
      <c r="D24" s="401"/>
      <c r="E24" s="117">
        <v>9</v>
      </c>
      <c r="F24" s="117">
        <v>5</v>
      </c>
      <c r="G24" s="169">
        <v>5</v>
      </c>
      <c r="H24" s="117">
        <v>10</v>
      </c>
      <c r="I24" s="142">
        <v>1</v>
      </c>
      <c r="J24" s="117">
        <f t="shared" ref="J24:J27" si="1">+E24+F24+G24+H24+I24+C24</f>
        <v>30</v>
      </c>
      <c r="K24" s="114"/>
    </row>
    <row r="25" spans="1:11" ht="35.1" customHeight="1" x14ac:dyDescent="0.25">
      <c r="A25" s="61">
        <v>8</v>
      </c>
      <c r="B25" s="112" t="s">
        <v>480</v>
      </c>
      <c r="C25" s="400"/>
      <c r="D25" s="401"/>
      <c r="E25" s="117">
        <v>9</v>
      </c>
      <c r="F25" s="117">
        <v>5</v>
      </c>
      <c r="G25" s="117">
        <v>5</v>
      </c>
      <c r="H25" s="117">
        <v>10</v>
      </c>
      <c r="I25" s="142">
        <v>1</v>
      </c>
      <c r="J25" s="117">
        <f t="shared" si="1"/>
        <v>30</v>
      </c>
      <c r="K25" s="114"/>
    </row>
    <row r="26" spans="1:11" ht="35.1" customHeight="1" x14ac:dyDescent="0.25">
      <c r="A26" s="61">
        <v>9</v>
      </c>
      <c r="B26" s="112" t="s">
        <v>481</v>
      </c>
      <c r="C26" s="400"/>
      <c r="D26" s="401"/>
      <c r="E26" s="117">
        <v>9</v>
      </c>
      <c r="F26" s="117">
        <v>5</v>
      </c>
      <c r="G26" s="117">
        <v>5</v>
      </c>
      <c r="H26" s="117">
        <v>10</v>
      </c>
      <c r="I26" s="142">
        <v>1</v>
      </c>
      <c r="J26" s="117">
        <f t="shared" si="1"/>
        <v>30</v>
      </c>
      <c r="K26" s="114"/>
    </row>
    <row r="27" spans="1:11" ht="35.1" customHeight="1" x14ac:dyDescent="0.25">
      <c r="A27" s="61">
        <v>10</v>
      </c>
      <c r="B27" s="112" t="s">
        <v>477</v>
      </c>
      <c r="C27" s="402"/>
      <c r="D27" s="402"/>
      <c r="E27" s="117">
        <v>9</v>
      </c>
      <c r="F27" s="117">
        <v>5</v>
      </c>
      <c r="G27" s="117">
        <v>5</v>
      </c>
      <c r="H27" s="117">
        <v>10</v>
      </c>
      <c r="I27" s="117">
        <v>1</v>
      </c>
      <c r="J27" s="117">
        <f t="shared" si="1"/>
        <v>30</v>
      </c>
      <c r="K27" s="114"/>
    </row>
    <row r="28" spans="1:11" ht="35.1" customHeight="1" x14ac:dyDescent="0.25">
      <c r="A28" s="61">
        <v>11</v>
      </c>
      <c r="B28" s="112" t="s">
        <v>97</v>
      </c>
      <c r="C28" s="407"/>
      <c r="D28" s="407"/>
      <c r="E28" s="138">
        <v>9</v>
      </c>
      <c r="F28" s="138">
        <v>5</v>
      </c>
      <c r="G28" s="138">
        <v>5</v>
      </c>
      <c r="H28" s="140">
        <v>10</v>
      </c>
      <c r="I28" s="140">
        <v>1</v>
      </c>
      <c r="J28" s="117">
        <f>+E28+F28+G28+H28+I28+C28</f>
        <v>30</v>
      </c>
      <c r="K28" s="114"/>
    </row>
    <row r="29" spans="1:11" ht="35.1" customHeight="1" x14ac:dyDescent="0.25">
      <c r="A29" s="61">
        <v>12</v>
      </c>
      <c r="B29" s="112" t="s">
        <v>104</v>
      </c>
      <c r="C29" s="402"/>
      <c r="D29" s="402"/>
      <c r="E29" s="119">
        <v>9</v>
      </c>
      <c r="F29" s="119">
        <v>5</v>
      </c>
      <c r="G29" s="119">
        <v>5</v>
      </c>
      <c r="H29" s="117">
        <v>10</v>
      </c>
      <c r="I29" s="117">
        <v>1</v>
      </c>
      <c r="J29" s="117">
        <f t="shared" ref="J29:J32" si="2">+E29+F29+G29+H29+I29+C29</f>
        <v>30</v>
      </c>
      <c r="K29" s="114"/>
    </row>
    <row r="30" spans="1:11" ht="35.1" customHeight="1" x14ac:dyDescent="0.25">
      <c r="A30" s="61">
        <v>13</v>
      </c>
      <c r="B30" s="112" t="s">
        <v>108</v>
      </c>
      <c r="C30" s="402"/>
      <c r="D30" s="402"/>
      <c r="E30" s="119">
        <v>9</v>
      </c>
      <c r="F30" s="119">
        <v>5</v>
      </c>
      <c r="G30" s="119">
        <v>5</v>
      </c>
      <c r="H30" s="117">
        <v>10</v>
      </c>
      <c r="I30" s="117">
        <v>1</v>
      </c>
      <c r="J30" s="117">
        <f t="shared" si="2"/>
        <v>30</v>
      </c>
      <c r="K30" s="114"/>
    </row>
    <row r="31" spans="1:11" ht="35.1" customHeight="1" x14ac:dyDescent="0.25">
      <c r="A31" s="61">
        <v>14</v>
      </c>
      <c r="B31" s="112" t="s">
        <v>107</v>
      </c>
      <c r="C31" s="402"/>
      <c r="D31" s="402"/>
      <c r="E31" s="119">
        <v>9</v>
      </c>
      <c r="F31" s="119">
        <v>5</v>
      </c>
      <c r="G31" s="119">
        <v>5</v>
      </c>
      <c r="H31" s="117">
        <v>10</v>
      </c>
      <c r="I31" s="117">
        <v>1</v>
      </c>
      <c r="J31" s="117">
        <f t="shared" si="2"/>
        <v>30</v>
      </c>
      <c r="K31" s="114"/>
    </row>
    <row r="32" spans="1:11" ht="35.1" customHeight="1" x14ac:dyDescent="0.25">
      <c r="A32" s="61">
        <v>15</v>
      </c>
      <c r="B32" s="112" t="s">
        <v>106</v>
      </c>
      <c r="C32" s="402"/>
      <c r="D32" s="402"/>
      <c r="E32" s="119">
        <v>9</v>
      </c>
      <c r="F32" s="119">
        <v>5</v>
      </c>
      <c r="G32" s="119">
        <v>5</v>
      </c>
      <c r="H32" s="117">
        <v>10</v>
      </c>
      <c r="I32" s="117">
        <v>1</v>
      </c>
      <c r="J32" s="117">
        <f t="shared" si="2"/>
        <v>30</v>
      </c>
      <c r="K32" s="114"/>
    </row>
    <row r="33" spans="1:11" ht="35.1" customHeight="1" x14ac:dyDescent="0.25">
      <c r="A33" s="61">
        <v>16</v>
      </c>
      <c r="B33" s="112" t="s">
        <v>434</v>
      </c>
      <c r="C33" s="398"/>
      <c r="D33" s="399"/>
      <c r="E33" s="138">
        <v>9</v>
      </c>
      <c r="F33" s="138">
        <v>5</v>
      </c>
      <c r="G33" s="139">
        <v>5</v>
      </c>
      <c r="H33" s="140">
        <v>10</v>
      </c>
      <c r="I33" s="141">
        <v>1</v>
      </c>
      <c r="J33" s="117">
        <f>+E33+F33+G33+H33+I33+C33</f>
        <v>30</v>
      </c>
      <c r="K33" s="114"/>
    </row>
    <row r="34" spans="1:11" ht="35.1" customHeight="1" x14ac:dyDescent="0.25">
      <c r="A34" s="61">
        <v>17</v>
      </c>
      <c r="B34" s="112" t="s">
        <v>358</v>
      </c>
      <c r="C34" s="169"/>
      <c r="D34" s="200"/>
      <c r="E34" s="117">
        <v>9</v>
      </c>
      <c r="F34" s="117">
        <v>5</v>
      </c>
      <c r="G34" s="142">
        <v>5</v>
      </c>
      <c r="H34" s="117">
        <v>10</v>
      </c>
      <c r="I34" s="142">
        <v>1</v>
      </c>
      <c r="J34" s="117">
        <f t="shared" ref="J34:J37" si="3">+E34+F34+G34+H34+I34+C34</f>
        <v>30</v>
      </c>
      <c r="K34" s="114"/>
    </row>
    <row r="35" spans="1:11" ht="35.1" customHeight="1" x14ac:dyDescent="0.25">
      <c r="A35" s="61">
        <v>18</v>
      </c>
      <c r="B35" s="112" t="s">
        <v>433</v>
      </c>
      <c r="C35" s="169"/>
      <c r="D35" s="200"/>
      <c r="E35" s="117">
        <v>9</v>
      </c>
      <c r="F35" s="117">
        <v>5</v>
      </c>
      <c r="G35" s="142">
        <v>5</v>
      </c>
      <c r="H35" s="117">
        <v>10</v>
      </c>
      <c r="I35" s="142">
        <v>1</v>
      </c>
      <c r="J35" s="117">
        <f t="shared" si="3"/>
        <v>30</v>
      </c>
      <c r="K35" s="114"/>
    </row>
    <row r="36" spans="1:11" ht="35.1" customHeight="1" x14ac:dyDescent="0.25">
      <c r="A36" s="61">
        <v>19</v>
      </c>
      <c r="B36" s="112" t="s">
        <v>374</v>
      </c>
      <c r="C36" s="169"/>
      <c r="D36" s="200"/>
      <c r="E36" s="117">
        <v>9</v>
      </c>
      <c r="F36" s="117">
        <v>5</v>
      </c>
      <c r="G36" s="142">
        <v>5</v>
      </c>
      <c r="H36" s="117">
        <v>10</v>
      </c>
      <c r="I36" s="142">
        <v>1</v>
      </c>
      <c r="J36" s="117">
        <f t="shared" si="3"/>
        <v>30</v>
      </c>
      <c r="K36" s="114"/>
    </row>
    <row r="37" spans="1:11" ht="35.1" customHeight="1" x14ac:dyDescent="0.25">
      <c r="A37" s="61">
        <v>20</v>
      </c>
      <c r="B37" s="118" t="s">
        <v>385</v>
      </c>
      <c r="C37" s="169"/>
      <c r="D37" s="200"/>
      <c r="E37" s="117">
        <v>9</v>
      </c>
      <c r="F37" s="117">
        <v>5</v>
      </c>
      <c r="G37" s="142">
        <v>5</v>
      </c>
      <c r="H37" s="117">
        <v>10</v>
      </c>
      <c r="I37" s="142">
        <v>1</v>
      </c>
      <c r="J37" s="117">
        <f t="shared" si="3"/>
        <v>30</v>
      </c>
      <c r="K37" s="114"/>
    </row>
    <row r="38" spans="1:11" ht="35.1" customHeight="1" x14ac:dyDescent="0.25">
      <c r="A38" s="61">
        <v>21</v>
      </c>
      <c r="B38" s="118" t="s">
        <v>388</v>
      </c>
      <c r="C38" s="169"/>
      <c r="D38" s="200"/>
      <c r="E38" s="117">
        <v>9</v>
      </c>
      <c r="F38" s="117">
        <v>5</v>
      </c>
      <c r="G38" s="142">
        <v>5</v>
      </c>
      <c r="H38" s="117">
        <v>10</v>
      </c>
      <c r="I38" s="142">
        <v>1</v>
      </c>
      <c r="J38" s="117">
        <f>+E38+F38+G38+H38+I38+C38</f>
        <v>30</v>
      </c>
      <c r="K38" s="114"/>
    </row>
    <row r="39" spans="1:11" ht="35.1" customHeight="1" x14ac:dyDescent="0.25">
      <c r="A39" s="61">
        <v>22</v>
      </c>
      <c r="B39" s="118" t="s">
        <v>397</v>
      </c>
      <c r="C39" s="169"/>
      <c r="D39" s="200"/>
      <c r="E39" s="117">
        <v>9</v>
      </c>
      <c r="F39" s="117">
        <v>5</v>
      </c>
      <c r="G39" s="142">
        <v>5</v>
      </c>
      <c r="H39" s="117">
        <v>10</v>
      </c>
      <c r="I39" s="142">
        <v>1</v>
      </c>
      <c r="J39" s="117">
        <f t="shared" ref="J39:J42" si="4">+E39+F39+G39+H39+I39+C39</f>
        <v>30</v>
      </c>
      <c r="K39" s="114"/>
    </row>
    <row r="40" spans="1:11" ht="35.1" customHeight="1" x14ac:dyDescent="0.25">
      <c r="A40" s="61">
        <v>23</v>
      </c>
      <c r="B40" s="118" t="s">
        <v>402</v>
      </c>
      <c r="C40" s="169"/>
      <c r="D40" s="200"/>
      <c r="E40" s="117">
        <v>9</v>
      </c>
      <c r="F40" s="117">
        <v>5</v>
      </c>
      <c r="G40" s="142">
        <v>5</v>
      </c>
      <c r="H40" s="117">
        <v>10</v>
      </c>
      <c r="I40" s="142">
        <v>1</v>
      </c>
      <c r="J40" s="117">
        <f t="shared" si="4"/>
        <v>30</v>
      </c>
      <c r="K40" s="114"/>
    </row>
    <row r="41" spans="1:11" ht="35.1" customHeight="1" x14ac:dyDescent="0.25">
      <c r="A41" s="61">
        <v>24</v>
      </c>
      <c r="B41" s="118" t="s">
        <v>409</v>
      </c>
      <c r="C41" s="169"/>
      <c r="D41" s="200"/>
      <c r="E41" s="117">
        <v>9</v>
      </c>
      <c r="F41" s="117">
        <v>5</v>
      </c>
      <c r="G41" s="142">
        <v>5</v>
      </c>
      <c r="H41" s="117">
        <v>10</v>
      </c>
      <c r="I41" s="142">
        <v>1</v>
      </c>
      <c r="J41" s="117">
        <f t="shared" si="4"/>
        <v>30</v>
      </c>
      <c r="K41" s="114"/>
    </row>
    <row r="42" spans="1:11" ht="35.1" customHeight="1" x14ac:dyDescent="0.25">
      <c r="A42" s="61">
        <v>25</v>
      </c>
      <c r="B42" s="118" t="s">
        <v>424</v>
      </c>
      <c r="C42" s="169"/>
      <c r="D42" s="200"/>
      <c r="E42" s="117">
        <v>9</v>
      </c>
      <c r="F42" s="117">
        <v>5</v>
      </c>
      <c r="G42" s="142">
        <v>5</v>
      </c>
      <c r="H42" s="117">
        <v>10</v>
      </c>
      <c r="I42" s="142">
        <v>1</v>
      </c>
      <c r="J42" s="117">
        <f t="shared" si="4"/>
        <v>30</v>
      </c>
      <c r="K42" s="114"/>
    </row>
    <row r="43" spans="1:11" ht="35.1" customHeight="1" x14ac:dyDescent="0.25">
      <c r="A43" s="61">
        <v>26</v>
      </c>
      <c r="B43" s="112" t="s">
        <v>355</v>
      </c>
      <c r="C43" s="400"/>
      <c r="D43" s="401"/>
      <c r="E43" s="138">
        <v>9</v>
      </c>
      <c r="F43" s="138">
        <v>5</v>
      </c>
      <c r="G43" s="139">
        <v>5</v>
      </c>
      <c r="H43" s="140">
        <v>10</v>
      </c>
      <c r="I43" s="141">
        <v>1</v>
      </c>
      <c r="J43" s="117">
        <f>+E43+F43+G43+H43+I43+C43</f>
        <v>30</v>
      </c>
      <c r="K43" s="114"/>
    </row>
    <row r="44" spans="1:11" ht="35.1" customHeight="1" x14ac:dyDescent="0.25">
      <c r="A44" s="61">
        <v>27</v>
      </c>
      <c r="B44" s="112" t="s">
        <v>284</v>
      </c>
      <c r="C44" s="400"/>
      <c r="D44" s="401"/>
      <c r="E44" s="120">
        <v>9</v>
      </c>
      <c r="F44" s="120">
        <v>5</v>
      </c>
      <c r="G44" s="169">
        <v>5</v>
      </c>
      <c r="H44" s="117">
        <v>10</v>
      </c>
      <c r="I44" s="142">
        <v>1</v>
      </c>
      <c r="J44" s="117">
        <f t="shared" ref="J44:J51" si="5">+E44+F44+G44+H44+I44+C44</f>
        <v>30</v>
      </c>
      <c r="K44" s="114"/>
    </row>
    <row r="45" spans="1:11" ht="35.1" customHeight="1" x14ac:dyDescent="0.25">
      <c r="A45" s="61">
        <v>28</v>
      </c>
      <c r="B45" s="112" t="s">
        <v>293</v>
      </c>
      <c r="C45" s="400"/>
      <c r="D45" s="401"/>
      <c r="E45" s="117">
        <v>9</v>
      </c>
      <c r="F45" s="117">
        <v>5</v>
      </c>
      <c r="G45" s="117">
        <v>5</v>
      </c>
      <c r="H45" s="117">
        <v>10</v>
      </c>
      <c r="I45" s="142">
        <v>1</v>
      </c>
      <c r="J45" s="117">
        <f t="shared" si="5"/>
        <v>30</v>
      </c>
      <c r="K45" s="114"/>
    </row>
    <row r="46" spans="1:11" ht="35.1" customHeight="1" x14ac:dyDescent="0.25">
      <c r="A46" s="61">
        <v>29</v>
      </c>
      <c r="B46" s="112" t="s">
        <v>303</v>
      </c>
      <c r="C46" s="400"/>
      <c r="D46" s="401"/>
      <c r="E46" s="117">
        <v>9</v>
      </c>
      <c r="F46" s="117">
        <v>5</v>
      </c>
      <c r="G46" s="117">
        <v>5</v>
      </c>
      <c r="H46" s="117">
        <v>10</v>
      </c>
      <c r="I46" s="142">
        <v>1</v>
      </c>
      <c r="J46" s="117">
        <f t="shared" si="5"/>
        <v>30</v>
      </c>
      <c r="K46" s="114"/>
    </row>
    <row r="47" spans="1:11" ht="35.1" customHeight="1" x14ac:dyDescent="0.25">
      <c r="A47" s="61">
        <v>30</v>
      </c>
      <c r="B47" s="112" t="s">
        <v>315</v>
      </c>
      <c r="C47" s="400"/>
      <c r="D47" s="401"/>
      <c r="E47" s="170">
        <v>9</v>
      </c>
      <c r="F47" s="170">
        <v>5</v>
      </c>
      <c r="G47" s="170">
        <v>5</v>
      </c>
      <c r="H47" s="170">
        <v>10</v>
      </c>
      <c r="I47" s="171">
        <v>1</v>
      </c>
      <c r="J47" s="117">
        <f t="shared" si="5"/>
        <v>30</v>
      </c>
      <c r="K47" s="114"/>
    </row>
    <row r="48" spans="1:11" ht="35.1" customHeight="1" x14ac:dyDescent="0.25">
      <c r="A48" s="61">
        <v>31</v>
      </c>
      <c r="B48" s="112" t="s">
        <v>323</v>
      </c>
      <c r="C48" s="400"/>
      <c r="D48" s="401"/>
      <c r="E48" s="170">
        <v>9</v>
      </c>
      <c r="F48" s="170">
        <v>5</v>
      </c>
      <c r="G48" s="170">
        <v>5</v>
      </c>
      <c r="H48" s="170">
        <v>10</v>
      </c>
      <c r="I48" s="171">
        <v>1</v>
      </c>
      <c r="J48" s="117">
        <f t="shared" si="5"/>
        <v>30</v>
      </c>
      <c r="K48" s="114"/>
    </row>
    <row r="49" spans="1:11" ht="35.1" customHeight="1" x14ac:dyDescent="0.25">
      <c r="A49" s="61">
        <v>32</v>
      </c>
      <c r="B49" s="112" t="s">
        <v>328</v>
      </c>
      <c r="C49" s="400"/>
      <c r="D49" s="401"/>
      <c r="E49" s="170">
        <v>9</v>
      </c>
      <c r="F49" s="170">
        <v>5</v>
      </c>
      <c r="G49" s="170">
        <v>5</v>
      </c>
      <c r="H49" s="170">
        <v>10</v>
      </c>
      <c r="I49" s="171">
        <v>1</v>
      </c>
      <c r="J49" s="117">
        <f t="shared" si="5"/>
        <v>30</v>
      </c>
      <c r="K49" s="114"/>
    </row>
    <row r="50" spans="1:11" ht="35.1" customHeight="1" x14ac:dyDescent="0.2">
      <c r="A50" s="61">
        <v>33</v>
      </c>
      <c r="B50" s="112" t="s">
        <v>332</v>
      </c>
      <c r="C50" s="409"/>
      <c r="D50" s="410"/>
      <c r="E50" s="170">
        <v>9</v>
      </c>
      <c r="F50" s="170">
        <v>5</v>
      </c>
      <c r="G50" s="170">
        <v>5</v>
      </c>
      <c r="H50" s="170">
        <v>10</v>
      </c>
      <c r="I50" s="171">
        <v>0</v>
      </c>
      <c r="J50" s="117">
        <f t="shared" si="5"/>
        <v>29</v>
      </c>
      <c r="K50" s="114" t="s">
        <v>356</v>
      </c>
    </row>
    <row r="51" spans="1:11" ht="35.1" customHeight="1" x14ac:dyDescent="0.25">
      <c r="A51" s="61">
        <v>34</v>
      </c>
      <c r="B51" s="112" t="s">
        <v>343</v>
      </c>
      <c r="C51" s="402"/>
      <c r="D51" s="402"/>
      <c r="E51" s="117">
        <v>9</v>
      </c>
      <c r="F51" s="117">
        <v>5</v>
      </c>
      <c r="G51" s="117">
        <v>5</v>
      </c>
      <c r="H51" s="117">
        <v>10</v>
      </c>
      <c r="I51" s="117">
        <v>1</v>
      </c>
      <c r="J51" s="117">
        <f t="shared" si="5"/>
        <v>30</v>
      </c>
      <c r="K51" s="114"/>
    </row>
    <row r="52" spans="1:11" ht="35.1" customHeight="1" x14ac:dyDescent="0.25">
      <c r="A52" s="61">
        <v>35</v>
      </c>
      <c r="B52" s="112" t="s">
        <v>233</v>
      </c>
      <c r="C52" s="398"/>
      <c r="D52" s="399"/>
      <c r="E52" s="138">
        <v>9</v>
      </c>
      <c r="F52" s="138">
        <v>5</v>
      </c>
      <c r="G52" s="139">
        <v>5</v>
      </c>
      <c r="H52" s="140">
        <v>10</v>
      </c>
      <c r="I52" s="141">
        <v>1</v>
      </c>
      <c r="J52" s="117">
        <f>+E52+F52+G52+H52+I52+C52</f>
        <v>30</v>
      </c>
      <c r="K52" s="114"/>
    </row>
    <row r="53" spans="1:11" ht="54" x14ac:dyDescent="0.25">
      <c r="A53" s="61">
        <v>36</v>
      </c>
      <c r="B53" s="112" t="s">
        <v>230</v>
      </c>
      <c r="C53" s="400"/>
      <c r="D53" s="401"/>
      <c r="E53" s="117">
        <v>9</v>
      </c>
      <c r="F53" s="117">
        <v>5</v>
      </c>
      <c r="G53" s="142">
        <v>5</v>
      </c>
      <c r="H53" s="117">
        <v>0</v>
      </c>
      <c r="I53" s="142">
        <v>1</v>
      </c>
      <c r="J53" s="117">
        <f t="shared" ref="J53:J55" si="6">+E53+F53+G53+H53+I53+C53</f>
        <v>20</v>
      </c>
      <c r="K53" s="114" t="s">
        <v>357</v>
      </c>
    </row>
    <row r="54" spans="1:11" ht="35.1" customHeight="1" x14ac:dyDescent="0.25">
      <c r="A54" s="61">
        <v>37</v>
      </c>
      <c r="B54" s="112" t="s">
        <v>231</v>
      </c>
      <c r="C54" s="400"/>
      <c r="D54" s="401"/>
      <c r="E54" s="117">
        <v>9</v>
      </c>
      <c r="F54" s="117">
        <v>5</v>
      </c>
      <c r="G54" s="117">
        <v>5</v>
      </c>
      <c r="H54" s="117">
        <v>10</v>
      </c>
      <c r="I54" s="142">
        <v>1</v>
      </c>
      <c r="J54" s="117">
        <f t="shared" si="6"/>
        <v>30</v>
      </c>
      <c r="K54" s="114"/>
    </row>
    <row r="55" spans="1:11" ht="35.1" customHeight="1" thickBot="1" x14ac:dyDescent="0.3">
      <c r="A55" s="122">
        <v>38</v>
      </c>
      <c r="B55" s="112" t="s">
        <v>232</v>
      </c>
      <c r="C55" s="400"/>
      <c r="D55" s="401"/>
      <c r="E55" s="117">
        <v>9</v>
      </c>
      <c r="F55" s="117">
        <v>5</v>
      </c>
      <c r="G55" s="117">
        <v>5</v>
      </c>
      <c r="H55" s="117">
        <v>10</v>
      </c>
      <c r="I55" s="142">
        <v>1</v>
      </c>
      <c r="J55" s="123">
        <f t="shared" si="6"/>
        <v>30</v>
      </c>
      <c r="K55" s="115"/>
    </row>
    <row r="57" spans="1:11" ht="43.5" x14ac:dyDescent="0.25">
      <c r="A57" s="51" t="s">
        <v>532</v>
      </c>
      <c r="B57" s="1" t="s">
        <v>533</v>
      </c>
      <c r="D57" s="18"/>
    </row>
    <row r="58" spans="1:11" ht="15.75" x14ac:dyDescent="0.25">
      <c r="D58" s="19"/>
    </row>
    <row r="59" spans="1:11" ht="18" x14ac:dyDescent="0.25">
      <c r="D59" s="59"/>
    </row>
    <row r="60" spans="1:11" ht="18.75" x14ac:dyDescent="0.3">
      <c r="D60" s="60"/>
    </row>
  </sheetData>
  <mergeCells count="63">
    <mergeCell ref="K16:K17"/>
    <mergeCell ref="C51:D51"/>
    <mergeCell ref="C52:D52"/>
    <mergeCell ref="C53:D53"/>
    <mergeCell ref="C54:D54"/>
    <mergeCell ref="C43:D43"/>
    <mergeCell ref="C44:D44"/>
    <mergeCell ref="C45:D45"/>
    <mergeCell ref="C24:D24"/>
    <mergeCell ref="C55:D55"/>
    <mergeCell ref="C46:D46"/>
    <mergeCell ref="C47:D47"/>
    <mergeCell ref="C48:D48"/>
    <mergeCell ref="C49:D49"/>
    <mergeCell ref="C50:D50"/>
    <mergeCell ref="C33:D33"/>
    <mergeCell ref="C28:D28"/>
    <mergeCell ref="C29:D29"/>
    <mergeCell ref="C30:D30"/>
    <mergeCell ref="C31:D31"/>
    <mergeCell ref="C32:D32"/>
    <mergeCell ref="C25:D25"/>
    <mergeCell ref="C26:D26"/>
    <mergeCell ref="C27:D27"/>
    <mergeCell ref="A16:A17"/>
    <mergeCell ref="B16:B17"/>
    <mergeCell ref="C16:D17"/>
    <mergeCell ref="C18:D18"/>
    <mergeCell ref="C19:D19"/>
    <mergeCell ref="C20:D20"/>
    <mergeCell ref="C21:D21"/>
    <mergeCell ref="C22:D22"/>
    <mergeCell ref="C23:D23"/>
    <mergeCell ref="B4:B5"/>
    <mergeCell ref="E16:G16"/>
    <mergeCell ref="H16:H17"/>
    <mergeCell ref="J16:J17"/>
    <mergeCell ref="I16:I17"/>
    <mergeCell ref="D13:G13"/>
    <mergeCell ref="H13:J13"/>
    <mergeCell ref="H3:J3"/>
    <mergeCell ref="D4:G5"/>
    <mergeCell ref="D8:G8"/>
    <mergeCell ref="H7:J7"/>
    <mergeCell ref="C4:C5"/>
    <mergeCell ref="H4:J4"/>
    <mergeCell ref="H5:J5"/>
    <mergeCell ref="A1:J1"/>
    <mergeCell ref="H12:J12"/>
    <mergeCell ref="H8:J8"/>
    <mergeCell ref="D9:G9"/>
    <mergeCell ref="H9:J9"/>
    <mergeCell ref="A10:A12"/>
    <mergeCell ref="B10:B12"/>
    <mergeCell ref="D10:G12"/>
    <mergeCell ref="H10:J10"/>
    <mergeCell ref="C10:C12"/>
    <mergeCell ref="D6:J6"/>
    <mergeCell ref="A4:A5"/>
    <mergeCell ref="D7:G7"/>
    <mergeCell ref="B2:J2"/>
    <mergeCell ref="H11:J11"/>
    <mergeCell ref="D3:G3"/>
  </mergeCells>
  <printOptions gridLines="1"/>
  <pageMargins left="0.70866141732283472" right="0.70866141732283472" top="0.74803149606299213" bottom="0.74803149606299213" header="0.31496062992125984" footer="0.31496062992125984"/>
  <pageSetup scale="4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40</vt:i4>
      </vt:variant>
      <vt:variant>
        <vt:lpstr>Rangos con nombre</vt:lpstr>
      </vt:variant>
      <vt:variant>
        <vt:i4>38</vt:i4>
      </vt:variant>
    </vt:vector>
  </HeadingPairs>
  <TitlesOfParts>
    <vt:vector size="78" baseType="lpstr">
      <vt:lpstr>RESUMEN EVALUACION </vt:lpstr>
      <vt:lpstr>CONSOLIDADO KR</vt:lpstr>
      <vt:lpstr>PROPONENTE 1</vt:lpstr>
      <vt:lpstr>PROPONENTE 2</vt:lpstr>
      <vt:lpstr>PROPONENTE 3</vt:lpstr>
      <vt:lpstr>PROPONENTE 4</vt:lpstr>
      <vt:lpstr>PROPONENTE 5</vt:lpstr>
      <vt:lpstr>PROPONENTE 6</vt:lpstr>
      <vt:lpstr>PROPONENTE 7</vt:lpstr>
      <vt:lpstr>PROPONENTE 8</vt:lpstr>
      <vt:lpstr>PROPONENTE 9</vt:lpstr>
      <vt:lpstr>PROPONENTE 10</vt:lpstr>
      <vt:lpstr>PROPONENTE 11</vt:lpstr>
      <vt:lpstr>PROPONENTE 12</vt:lpstr>
      <vt:lpstr>PROPONENTE 13</vt:lpstr>
      <vt:lpstr>PROPONENTE 14</vt:lpstr>
      <vt:lpstr>PROPONENTE 15</vt:lpstr>
      <vt:lpstr>PROPONENTE 17</vt:lpstr>
      <vt:lpstr>PROPONENTE 18</vt:lpstr>
      <vt:lpstr>PROPONENTE 19</vt:lpstr>
      <vt:lpstr>PROPONENTE 20</vt:lpstr>
      <vt:lpstr>PROPONENTE 21</vt:lpstr>
      <vt:lpstr>PROPONENTE 22</vt:lpstr>
      <vt:lpstr>PROPONENTE 23</vt:lpstr>
      <vt:lpstr>PROPONENTE 24</vt:lpstr>
      <vt:lpstr>PROPONENTE 25</vt:lpstr>
      <vt:lpstr>PROPONENTE 26</vt:lpstr>
      <vt:lpstr>PROPONENTE 27</vt:lpstr>
      <vt:lpstr>PROPONENTE 28</vt:lpstr>
      <vt:lpstr>PROPONENTE 29</vt:lpstr>
      <vt:lpstr>PROPONENTE 30</vt:lpstr>
      <vt:lpstr>PROPONENTE 31</vt:lpstr>
      <vt:lpstr>PROPONENTE 32</vt:lpstr>
      <vt:lpstr>PROPONENTE 33</vt:lpstr>
      <vt:lpstr>PROPONENTE 34</vt:lpstr>
      <vt:lpstr>PROPONENTE 35</vt:lpstr>
      <vt:lpstr>PROPONENTE 36</vt:lpstr>
      <vt:lpstr>PROPONENTE 37</vt:lpstr>
      <vt:lpstr>PROPONENTE 38</vt:lpstr>
      <vt:lpstr>REQUISITOS PONDERABLES </vt:lpstr>
      <vt:lpstr>'PROPONENTE 1'!Área_de_impresión</vt:lpstr>
      <vt:lpstr>'PROPONENTE 10'!Área_de_impresión</vt:lpstr>
      <vt:lpstr>'PROPONENTE 11'!Área_de_impresión</vt:lpstr>
      <vt:lpstr>'PROPONENTE 12'!Área_de_impresión</vt:lpstr>
      <vt:lpstr>'PROPONENTE 13'!Área_de_impresión</vt:lpstr>
      <vt:lpstr>'PROPONENTE 14'!Área_de_impresión</vt:lpstr>
      <vt:lpstr>'PROPONENTE 15'!Área_de_impresión</vt:lpstr>
      <vt:lpstr>'PROPONENTE 17'!Área_de_impresión</vt:lpstr>
      <vt:lpstr>'PROPONENTE 18'!Área_de_impresión</vt:lpstr>
      <vt:lpstr>'PROPONENTE 19'!Área_de_impresión</vt:lpstr>
      <vt:lpstr>'PROPONENTE 2'!Área_de_impresión</vt:lpstr>
      <vt:lpstr>'PROPONENTE 20'!Área_de_impresión</vt:lpstr>
      <vt:lpstr>'PROPONENTE 21'!Área_de_impresión</vt:lpstr>
      <vt:lpstr>'PROPONENTE 22'!Área_de_impresión</vt:lpstr>
      <vt:lpstr>'PROPONENTE 23'!Área_de_impresión</vt:lpstr>
      <vt:lpstr>'PROPONENTE 24'!Área_de_impresión</vt:lpstr>
      <vt:lpstr>'PROPONENTE 25'!Área_de_impresión</vt:lpstr>
      <vt:lpstr>'PROPONENTE 26'!Área_de_impresión</vt:lpstr>
      <vt:lpstr>'PROPONENTE 27'!Área_de_impresión</vt:lpstr>
      <vt:lpstr>'PROPONENTE 28'!Área_de_impresión</vt:lpstr>
      <vt:lpstr>'PROPONENTE 29'!Área_de_impresión</vt:lpstr>
      <vt:lpstr>'PROPONENTE 3'!Área_de_impresión</vt:lpstr>
      <vt:lpstr>'PROPONENTE 30'!Área_de_impresión</vt:lpstr>
      <vt:lpstr>'PROPONENTE 31'!Área_de_impresión</vt:lpstr>
      <vt:lpstr>'PROPONENTE 32'!Área_de_impresión</vt:lpstr>
      <vt:lpstr>'PROPONENTE 33'!Área_de_impresión</vt:lpstr>
      <vt:lpstr>'PROPONENTE 34'!Área_de_impresión</vt:lpstr>
      <vt:lpstr>'PROPONENTE 35'!Área_de_impresión</vt:lpstr>
      <vt:lpstr>'PROPONENTE 36'!Área_de_impresión</vt:lpstr>
      <vt:lpstr>'PROPONENTE 37'!Área_de_impresión</vt:lpstr>
      <vt:lpstr>'PROPONENTE 38'!Área_de_impresión</vt:lpstr>
      <vt:lpstr>'PROPONENTE 4'!Área_de_impresión</vt:lpstr>
      <vt:lpstr>'PROPONENTE 5'!Área_de_impresión</vt:lpstr>
      <vt:lpstr>'PROPONENTE 6'!Área_de_impresión</vt:lpstr>
      <vt:lpstr>'PROPONENTE 7'!Área_de_impresión</vt:lpstr>
      <vt:lpstr>'PROPONENTE 8'!Área_de_impresión</vt:lpstr>
      <vt:lpstr>'PROPONENTE 9'!Área_de_impresión</vt:lpstr>
      <vt:lpstr>'CONSOLIDADO KR'!Títulos_a_imprimir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Magdalena Polanco Echeverry</dc:creator>
  <cp:lastModifiedBy>Luz Marlen Bula Guzman</cp:lastModifiedBy>
  <cp:lastPrinted>2019-12-09T21:27:55Z</cp:lastPrinted>
  <dcterms:created xsi:type="dcterms:W3CDTF">2018-07-27T15:35:00Z</dcterms:created>
  <dcterms:modified xsi:type="dcterms:W3CDTF">2019-12-09T23:23:48Z</dcterms:modified>
</cp:coreProperties>
</file>