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mpartida U. Administrativa\Procesos año 2020\Proceso de Fotocopiadora - 2020\Nueva carpeta\DOCUMENTOS DEL PROCESO\"/>
    </mc:Choice>
  </mc:AlternateContent>
  <workbookProtection workbookAlgorithmName="SHA-512" workbookHashValue="9tuKwTPyxYFvp+/NgczOnSOb+L5fae1SKFP7sF6HN8nY98Sn6+x6EsOY9ZJrU7i7DHQ+A5PiuYDzXgvCHZOGCA==" workbookSaltValue="uORQavGMTkfg7nn2o1B9Nw==" workbookSpinCount="100000" lockStructure="1"/>
  <bookViews>
    <workbookView xWindow="0" yWindow="0" windowWidth="28800" windowHeight="12435" tabRatio="599" firstSheet="4" activeTab="4"/>
  </bookViews>
  <sheets>
    <sheet name="Fotocopias 2019" sheetId="18" state="hidden" r:id="rId1"/>
    <sheet name="contradores 3er piso" sheetId="22" state="hidden" r:id="rId2"/>
    <sheet name="Contadores" sheetId="19" state="hidden" r:id="rId3"/>
    <sheet name="Municipios" sheetId="20" state="hidden" r:id="rId4"/>
    <sheet name="presupuesto" sheetId="23" r:id="rId5"/>
    <sheet name="oferta economica" sheetId="24" state="hidden" r:id="rId6"/>
    <sheet name="Extra " sheetId="21" state="hidden" r:id="rId7"/>
  </sheets>
  <definedNames>
    <definedName name="_xlnm.Print_Area" localSheetId="4">presupuesto!$A$5:$G$16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3" l="1"/>
  <c r="C8" i="23" l="1"/>
  <c r="C10" i="23"/>
  <c r="C11" i="23"/>
  <c r="F13" i="23" l="1"/>
  <c r="G13" i="23" s="1"/>
  <c r="F12" i="23"/>
  <c r="G12" i="23" s="1"/>
  <c r="F11" i="23"/>
  <c r="G11" i="23" s="1"/>
  <c r="F10" i="23"/>
  <c r="G10" i="23" s="1"/>
  <c r="F9" i="23"/>
  <c r="G9" i="23" s="1"/>
  <c r="F8" i="23"/>
  <c r="G8" i="23" s="1"/>
  <c r="F7" i="23"/>
  <c r="G7" i="23" s="1"/>
  <c r="H27" i="20"/>
  <c r="H26" i="20"/>
  <c r="H25" i="20"/>
  <c r="H24" i="20"/>
  <c r="H23" i="20"/>
  <c r="D23" i="20"/>
  <c r="F21" i="19"/>
  <c r="G21" i="19" s="1"/>
  <c r="F22" i="19"/>
  <c r="G22" i="19"/>
  <c r="E20" i="19"/>
  <c r="F19" i="19"/>
  <c r="F20" i="19"/>
  <c r="E19" i="19"/>
  <c r="G18" i="19"/>
  <c r="G19" i="19"/>
  <c r="G20" i="19"/>
  <c r="F18" i="19"/>
  <c r="E18" i="19"/>
  <c r="G17" i="19"/>
  <c r="F17" i="19"/>
  <c r="E17" i="19"/>
  <c r="E16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G15" i="19"/>
  <c r="AH15" i="19"/>
  <c r="AI15" i="19"/>
  <c r="AJ15" i="19"/>
  <c r="E15" i="19"/>
  <c r="F170" i="18"/>
  <c r="F169" i="18"/>
  <c r="G168" i="18"/>
  <c r="F168" i="18"/>
  <c r="F167" i="18"/>
  <c r="F166" i="18"/>
  <c r="D10" i="24" l="1"/>
  <c r="G14" i="23"/>
  <c r="M144" i="18"/>
  <c r="O144" i="18" s="1"/>
  <c r="K144" i="18"/>
  <c r="M143" i="18"/>
  <c r="K143" i="18"/>
  <c r="M142" i="18"/>
  <c r="O142" i="18" s="1"/>
  <c r="K142" i="18"/>
  <c r="M141" i="18"/>
  <c r="K141" i="18"/>
  <c r="M140" i="18"/>
  <c r="O152" i="18"/>
  <c r="P152" i="18"/>
  <c r="O153" i="18"/>
  <c r="P153" i="18"/>
  <c r="O154" i="18"/>
  <c r="P154" i="18"/>
  <c r="O155" i="18"/>
  <c r="P155" i="18"/>
  <c r="O156" i="18"/>
  <c r="P156" i="18"/>
  <c r="O157" i="18"/>
  <c r="P157" i="18"/>
  <c r="O158" i="18"/>
  <c r="P158" i="18"/>
  <c r="O159" i="18"/>
  <c r="P159" i="18"/>
  <c r="O160" i="18"/>
  <c r="P160" i="18"/>
  <c r="Q164" i="18"/>
  <c r="N164" i="18"/>
  <c r="L164" i="18"/>
  <c r="P151" i="18"/>
  <c r="O151" i="18"/>
  <c r="P150" i="18"/>
  <c r="O150" i="18"/>
  <c r="P149" i="18"/>
  <c r="O149" i="18"/>
  <c r="P148" i="18"/>
  <c r="O148" i="18"/>
  <c r="P147" i="18"/>
  <c r="O147" i="18"/>
  <c r="P146" i="18"/>
  <c r="O146" i="18"/>
  <c r="P145" i="18"/>
  <c r="O145" i="18"/>
  <c r="P144" i="18"/>
  <c r="P143" i="18"/>
  <c r="O143" i="18"/>
  <c r="P142" i="18"/>
  <c r="P141" i="18"/>
  <c r="O141" i="18"/>
  <c r="P140" i="18"/>
  <c r="O140" i="18"/>
  <c r="G15" i="23" l="1"/>
  <c r="I15" i="23" s="1"/>
  <c r="G16" i="23"/>
  <c r="I16" i="23" s="1"/>
  <c r="K164" i="18"/>
  <c r="O164" i="18"/>
  <c r="O165" i="18" s="1"/>
  <c r="P164" i="18"/>
  <c r="M164" i="18"/>
  <c r="B157" i="18"/>
  <c r="B154" i="18"/>
  <c r="I17" i="23" l="1"/>
  <c r="I18" i="23" s="1"/>
  <c r="B149" i="18"/>
  <c r="B158" i="18"/>
  <c r="D158" i="18"/>
  <c r="D157" i="18"/>
  <c r="B156" i="18"/>
  <c r="D156" i="18"/>
  <c r="B155" i="18"/>
  <c r="D155" i="18"/>
  <c r="D154" i="18"/>
  <c r="G153" i="18"/>
  <c r="D153" i="18"/>
  <c r="B153" i="18"/>
  <c r="F153" i="18" s="1"/>
  <c r="B151" i="18"/>
  <c r="D151" i="18"/>
  <c r="D150" i="18"/>
  <c r="B150" i="18"/>
  <c r="D149" i="18"/>
  <c r="D148" i="18"/>
  <c r="B148" i="18"/>
  <c r="B147" i="18"/>
  <c r="D147" i="18"/>
  <c r="D146" i="18"/>
  <c r="B146" i="18"/>
  <c r="D145" i="18"/>
  <c r="B145" i="18"/>
  <c r="D144" i="18"/>
  <c r="B144" i="18"/>
  <c r="N22" i="20" l="1"/>
  <c r="Q22" i="20"/>
  <c r="T22" i="20"/>
  <c r="W22" i="20"/>
  <c r="Z22" i="20"/>
  <c r="Y22" i="20"/>
  <c r="AC22" i="20"/>
  <c r="AF22" i="20"/>
  <c r="AI22" i="20"/>
  <c r="AB22" i="20"/>
  <c r="AE22" i="20"/>
  <c r="AH22" i="20"/>
  <c r="AH21" i="20"/>
  <c r="AE21" i="20"/>
  <c r="AG20" i="20"/>
  <c r="AH13" i="20"/>
  <c r="AH10" i="20"/>
  <c r="AI10" i="20" s="1"/>
  <c r="AE20" i="20"/>
  <c r="AE13" i="20"/>
  <c r="AE10" i="20"/>
  <c r="AF10" i="20" s="1"/>
  <c r="AF11" i="19"/>
  <c r="AL13" i="19"/>
  <c r="AM13" i="19" s="1"/>
  <c r="AI13" i="19"/>
  <c r="AJ13" i="19" s="1"/>
  <c r="AL12" i="19"/>
  <c r="AM12" i="19" s="1"/>
  <c r="AI12" i="19"/>
  <c r="AJ12" i="19" s="1"/>
  <c r="AL11" i="19"/>
  <c r="AM11" i="19" s="1"/>
  <c r="AI11" i="19"/>
  <c r="AJ11" i="19" s="1"/>
  <c r="AL10" i="19"/>
  <c r="AM10" i="19" s="1"/>
  <c r="AI10" i="19"/>
  <c r="AJ10" i="19" s="1"/>
  <c r="AL9" i="19"/>
  <c r="AM9" i="19" s="1"/>
  <c r="AI9" i="19"/>
  <c r="AJ9" i="19" s="1"/>
  <c r="AL8" i="19"/>
  <c r="AM8" i="19" s="1"/>
  <c r="AI8" i="19"/>
  <c r="AJ8" i="19" s="1"/>
  <c r="AL7" i="19"/>
  <c r="AM7" i="19" s="1"/>
  <c r="AI7" i="19"/>
  <c r="AJ7" i="19" s="1"/>
  <c r="AL6" i="19"/>
  <c r="AM6" i="19" s="1"/>
  <c r="AI6" i="19"/>
  <c r="AJ6" i="19" s="1"/>
  <c r="AL5" i="19"/>
  <c r="AM5" i="19" s="1"/>
  <c r="AI5" i="19"/>
  <c r="AJ5" i="19" s="1"/>
  <c r="AL4" i="19"/>
  <c r="AM4" i="19" s="1"/>
  <c r="AI4" i="19"/>
  <c r="AJ4" i="19" s="1"/>
  <c r="AL3" i="19"/>
  <c r="AI3" i="19"/>
  <c r="AJ3" i="19" s="1"/>
  <c r="AL14" i="19" l="1"/>
  <c r="AM3" i="19"/>
  <c r="AM14" i="19" s="1"/>
  <c r="AJ14" i="19"/>
  <c r="AI14" i="19"/>
  <c r="B143" i="18"/>
  <c r="D143" i="18"/>
  <c r="D142" i="18"/>
  <c r="B142" i="18"/>
  <c r="F142" i="18" s="1"/>
  <c r="D141" i="18"/>
  <c r="B141" i="18"/>
  <c r="F141" i="18" s="1"/>
  <c r="D140" i="18"/>
  <c r="B140" i="18"/>
  <c r="F140" i="18" s="1"/>
  <c r="H164" i="18"/>
  <c r="E164" i="18"/>
  <c r="C164" i="18"/>
  <c r="G158" i="18"/>
  <c r="F158" i="18"/>
  <c r="G157" i="18"/>
  <c r="F157" i="18"/>
  <c r="G156" i="18"/>
  <c r="F156" i="18"/>
  <c r="G155" i="18"/>
  <c r="F155" i="18"/>
  <c r="G154" i="18"/>
  <c r="F154" i="18"/>
  <c r="G151" i="18"/>
  <c r="F151" i="18"/>
  <c r="G150" i="18"/>
  <c r="F150" i="18"/>
  <c r="G149" i="18"/>
  <c r="F149" i="18"/>
  <c r="G148" i="18"/>
  <c r="F148" i="18"/>
  <c r="G147" i="18"/>
  <c r="F147" i="18"/>
  <c r="G146" i="18"/>
  <c r="F146" i="18"/>
  <c r="G145" i="18"/>
  <c r="F145" i="18"/>
  <c r="G144" i="18"/>
  <c r="F144" i="18"/>
  <c r="G143" i="18"/>
  <c r="F143" i="18"/>
  <c r="G142" i="18"/>
  <c r="G141" i="18"/>
  <c r="G140" i="18"/>
  <c r="M133" i="18"/>
  <c r="K133" i="18"/>
  <c r="K132" i="18"/>
  <c r="M132" i="18"/>
  <c r="M131" i="18"/>
  <c r="K131" i="18"/>
  <c r="M130" i="18"/>
  <c r="K130" i="18"/>
  <c r="M129" i="18"/>
  <c r="K129" i="18"/>
  <c r="M128" i="18"/>
  <c r="K128" i="18"/>
  <c r="K127" i="18"/>
  <c r="M127" i="18"/>
  <c r="M126" i="18"/>
  <c r="K126" i="18"/>
  <c r="M125" i="18"/>
  <c r="K125" i="18"/>
  <c r="K124" i="18"/>
  <c r="M124" i="18"/>
  <c r="M123" i="18"/>
  <c r="K123" i="18"/>
  <c r="M122" i="18"/>
  <c r="K122" i="18"/>
  <c r="K121" i="18"/>
  <c r="M121" i="18"/>
  <c r="M116" i="18"/>
  <c r="M117" i="18"/>
  <c r="M118" i="18"/>
  <c r="M119" i="18"/>
  <c r="M120" i="18"/>
  <c r="K120" i="18"/>
  <c r="K119" i="18"/>
  <c r="K118" i="18"/>
  <c r="K117" i="18"/>
  <c r="K116" i="18"/>
  <c r="M115" i="18"/>
  <c r="K115" i="18"/>
  <c r="M114" i="18"/>
  <c r="K114" i="18"/>
  <c r="M113" i="18"/>
  <c r="K113" i="18"/>
  <c r="G164" i="18" l="1"/>
  <c r="B164" i="18"/>
  <c r="F164" i="18"/>
  <c r="F165" i="18" s="1"/>
  <c r="D164" i="18"/>
  <c r="M112" i="18"/>
  <c r="K112" i="18"/>
  <c r="O133" i="18"/>
  <c r="P133" i="18"/>
  <c r="N136" i="18"/>
  <c r="L136" i="18"/>
  <c r="P132" i="18"/>
  <c r="O132" i="18"/>
  <c r="P131" i="18"/>
  <c r="O131" i="18"/>
  <c r="P130" i="18"/>
  <c r="O130" i="18"/>
  <c r="P129" i="18"/>
  <c r="O129" i="18"/>
  <c r="P128" i="18"/>
  <c r="O128" i="18"/>
  <c r="P127" i="18"/>
  <c r="O127" i="18"/>
  <c r="P126" i="18"/>
  <c r="O126" i="18"/>
  <c r="P125" i="18"/>
  <c r="O125" i="18"/>
  <c r="P124" i="18"/>
  <c r="O124" i="18"/>
  <c r="P123" i="18"/>
  <c r="O123" i="18"/>
  <c r="P122" i="18"/>
  <c r="O122" i="18"/>
  <c r="P121" i="18"/>
  <c r="O121" i="18"/>
  <c r="P120" i="18"/>
  <c r="O120" i="18"/>
  <c r="P119" i="18"/>
  <c r="O119" i="18"/>
  <c r="Q136" i="18"/>
  <c r="P118" i="18"/>
  <c r="O118" i="18"/>
  <c r="P117" i="18"/>
  <c r="O117" i="18"/>
  <c r="P116" i="18"/>
  <c r="O116" i="18"/>
  <c r="P115" i="18"/>
  <c r="O115" i="18"/>
  <c r="P114" i="18"/>
  <c r="O114" i="18"/>
  <c r="P113" i="18"/>
  <c r="O113" i="18"/>
  <c r="P112" i="18"/>
  <c r="M136" i="18"/>
  <c r="O112" i="18"/>
  <c r="F132" i="18"/>
  <c r="D132" i="18"/>
  <c r="B132" i="18"/>
  <c r="G132" i="18"/>
  <c r="B131" i="18"/>
  <c r="D131" i="18"/>
  <c r="D130" i="18"/>
  <c r="B130" i="18"/>
  <c r="P136" i="18" l="1"/>
  <c r="O136" i="18"/>
  <c r="O137" i="18" s="1"/>
  <c r="K136" i="18"/>
  <c r="AB13" i="20"/>
  <c r="AB10" i="20"/>
  <c r="AC10" i="20" s="1"/>
  <c r="D129" i="18" l="1"/>
  <c r="B129" i="18"/>
  <c r="D128" i="18"/>
  <c r="B127" i="18"/>
  <c r="D127" i="18"/>
  <c r="D126" i="18"/>
  <c r="B126" i="18"/>
  <c r="D125" i="18"/>
  <c r="B125" i="18"/>
  <c r="D124" i="18"/>
  <c r="B124" i="18"/>
  <c r="D123" i="18"/>
  <c r="B123" i="18"/>
  <c r="D122" i="18"/>
  <c r="B122" i="18"/>
  <c r="D121" i="18"/>
  <c r="B121" i="18"/>
  <c r="D120" i="18"/>
  <c r="B120" i="18"/>
  <c r="D119" i="18"/>
  <c r="B119" i="18"/>
  <c r="R108" i="18" l="1"/>
  <c r="D118" i="18" l="1"/>
  <c r="B118" i="18"/>
  <c r="F118" i="18" s="1"/>
  <c r="D117" i="18"/>
  <c r="F117" i="18" s="1"/>
  <c r="B117" i="18"/>
  <c r="D116" i="18"/>
  <c r="B116" i="18"/>
  <c r="B115" i="18"/>
  <c r="D115" i="18"/>
  <c r="D136" i="18" s="1"/>
  <c r="F115" i="18"/>
  <c r="D114" i="18"/>
  <c r="B114" i="18"/>
  <c r="D113" i="18"/>
  <c r="B113" i="18"/>
  <c r="D112" i="18"/>
  <c r="B112" i="18"/>
  <c r="F112" i="18" s="1"/>
  <c r="E136" i="18"/>
  <c r="C136" i="18"/>
  <c r="G131" i="18"/>
  <c r="F131" i="18"/>
  <c r="G130" i="18"/>
  <c r="F130" i="18"/>
  <c r="G129" i="18"/>
  <c r="F129" i="18"/>
  <c r="G128" i="18"/>
  <c r="F128" i="18"/>
  <c r="G127" i="18"/>
  <c r="F127" i="18"/>
  <c r="G126" i="18"/>
  <c r="F126" i="18"/>
  <c r="G125" i="18"/>
  <c r="F125" i="18"/>
  <c r="G124" i="18"/>
  <c r="F124" i="18"/>
  <c r="G123" i="18"/>
  <c r="F123" i="18"/>
  <c r="G122" i="18"/>
  <c r="F122" i="18"/>
  <c r="G121" i="18"/>
  <c r="F121" i="18"/>
  <c r="G120" i="18"/>
  <c r="F120" i="18"/>
  <c r="G119" i="18"/>
  <c r="F119" i="18"/>
  <c r="H118" i="18"/>
  <c r="H136" i="18" s="1"/>
  <c r="G118" i="18"/>
  <c r="G117" i="18"/>
  <c r="G116" i="18"/>
  <c r="F116" i="18"/>
  <c r="G115" i="18"/>
  <c r="G114" i="18"/>
  <c r="F114" i="18"/>
  <c r="G113" i="18"/>
  <c r="F113" i="18"/>
  <c r="G112" i="18"/>
  <c r="M103" i="18"/>
  <c r="K103" i="18"/>
  <c r="M102" i="18"/>
  <c r="K102" i="18"/>
  <c r="M101" i="18"/>
  <c r="K101" i="18"/>
  <c r="M100" i="18"/>
  <c r="K100" i="18"/>
  <c r="M99" i="18"/>
  <c r="K99" i="18"/>
  <c r="M98" i="18"/>
  <c r="K98" i="18"/>
  <c r="G136" i="18" l="1"/>
  <c r="F136" i="18"/>
  <c r="F137" i="18" s="1"/>
  <c r="B136" i="18"/>
  <c r="Y20" i="20"/>
  <c r="Y13" i="20"/>
  <c r="Y10" i="20"/>
  <c r="Z10" i="20" s="1"/>
  <c r="K97" i="18" l="1"/>
  <c r="M95" i="18"/>
  <c r="K95" i="18"/>
  <c r="M91" i="18" l="1"/>
  <c r="K91" i="18"/>
  <c r="M92" i="18"/>
  <c r="K92" i="18"/>
  <c r="M93" i="18"/>
  <c r="M97" i="18"/>
  <c r="Q97" i="18"/>
  <c r="K93" i="18" l="1"/>
  <c r="M94" i="18"/>
  <c r="K94" i="18"/>
  <c r="M96" i="18"/>
  <c r="K96" i="18"/>
  <c r="Q96" i="18"/>
  <c r="M13" i="22" l="1"/>
  <c r="H14" i="22" l="1"/>
  <c r="C14" i="22"/>
  <c r="G15" i="22"/>
  <c r="I15" i="22" s="1"/>
  <c r="G16" i="22"/>
  <c r="G17" i="22"/>
  <c r="G18" i="22"/>
  <c r="I18" i="22" s="1"/>
  <c r="G19" i="22"/>
  <c r="I19" i="22" s="1"/>
  <c r="G20" i="22"/>
  <c r="G21" i="22"/>
  <c r="G22" i="22"/>
  <c r="I22" i="22" s="1"/>
  <c r="G23" i="22"/>
  <c r="I23" i="22" s="1"/>
  <c r="G24" i="22"/>
  <c r="B15" i="22"/>
  <c r="D15" i="22" s="1"/>
  <c r="B16" i="22"/>
  <c r="D16" i="22" s="1"/>
  <c r="B17" i="22"/>
  <c r="B18" i="22"/>
  <c r="D18" i="22" s="1"/>
  <c r="B19" i="22"/>
  <c r="B20" i="22"/>
  <c r="D20" i="22" s="1"/>
  <c r="B21" i="22"/>
  <c r="B22" i="22"/>
  <c r="D22" i="22" s="1"/>
  <c r="B23" i="22"/>
  <c r="B24" i="22"/>
  <c r="D24" i="22" s="1"/>
  <c r="I24" i="22"/>
  <c r="I21" i="22"/>
  <c r="I20" i="22"/>
  <c r="I17" i="22"/>
  <c r="I16" i="22"/>
  <c r="D23" i="22"/>
  <c r="D21" i="22"/>
  <c r="D19" i="22"/>
  <c r="D17" i="22"/>
  <c r="C13" i="22"/>
  <c r="B14" i="22" s="1"/>
  <c r="D14" i="22" s="1"/>
  <c r="H13" i="22"/>
  <c r="I13" i="22" s="1"/>
  <c r="G13" i="22"/>
  <c r="B13" i="22"/>
  <c r="K24" i="22" l="1"/>
  <c r="K20" i="22"/>
  <c r="K16" i="22"/>
  <c r="D13" i="22"/>
  <c r="K13" i="22" s="1"/>
  <c r="G14" i="22"/>
  <c r="I14" i="22" s="1"/>
  <c r="K14" i="22" s="1"/>
  <c r="K17" i="22"/>
  <c r="K21" i="22"/>
  <c r="K18" i="22"/>
  <c r="K22" i="22"/>
  <c r="K15" i="22"/>
  <c r="K19" i="22"/>
  <c r="K23" i="22"/>
  <c r="M90" i="18"/>
  <c r="K90" i="18"/>
  <c r="D104" i="18"/>
  <c r="B104" i="18"/>
  <c r="Q90" i="18" l="1"/>
  <c r="K86" i="18" l="1"/>
  <c r="M85" i="18"/>
  <c r="K85" i="18"/>
  <c r="K89" i="18" l="1"/>
  <c r="M89" i="18"/>
  <c r="M88" i="18" l="1"/>
  <c r="K88" i="18"/>
  <c r="O88" i="18" s="1"/>
  <c r="M87" i="18"/>
  <c r="K87" i="18"/>
  <c r="M86" i="18"/>
  <c r="K108" i="18"/>
  <c r="M108" i="18"/>
  <c r="O84" i="18"/>
  <c r="M84" i="18"/>
  <c r="K84" i="18"/>
  <c r="Q108" i="18"/>
  <c r="N108" i="18"/>
  <c r="L108" i="18"/>
  <c r="P103" i="18"/>
  <c r="O103" i="18"/>
  <c r="P102" i="18"/>
  <c r="O102" i="18"/>
  <c r="P101" i="18"/>
  <c r="O101" i="18"/>
  <c r="P100" i="18"/>
  <c r="O100" i="18"/>
  <c r="P99" i="18"/>
  <c r="O99" i="18"/>
  <c r="P98" i="18"/>
  <c r="O98" i="18"/>
  <c r="P97" i="18"/>
  <c r="O97" i="18"/>
  <c r="P96" i="18"/>
  <c r="O96" i="18"/>
  <c r="P95" i="18"/>
  <c r="O95" i="18"/>
  <c r="P94" i="18"/>
  <c r="O94" i="18"/>
  <c r="P93" i="18"/>
  <c r="O93" i="18"/>
  <c r="P92" i="18"/>
  <c r="O92" i="18"/>
  <c r="P91" i="18"/>
  <c r="O91" i="18"/>
  <c r="P90" i="18"/>
  <c r="O90" i="18"/>
  <c r="P89" i="18"/>
  <c r="O89" i="18"/>
  <c r="P88" i="18"/>
  <c r="P87" i="18"/>
  <c r="O87" i="18"/>
  <c r="P86" i="18"/>
  <c r="O86" i="18"/>
  <c r="P85" i="18"/>
  <c r="O85" i="18"/>
  <c r="P84" i="18"/>
  <c r="D105" i="18"/>
  <c r="B105" i="18"/>
  <c r="P108" i="18" l="1"/>
  <c r="O108" i="18"/>
  <c r="O109" i="18" s="1"/>
  <c r="D103" i="18"/>
  <c r="B103" i="18"/>
  <c r="B94" i="18" l="1"/>
  <c r="D102" i="18" l="1"/>
  <c r="B102" i="18"/>
  <c r="D101" i="18"/>
  <c r="B101" i="18"/>
  <c r="D100" i="18"/>
  <c r="B100" i="18"/>
  <c r="D99" i="18"/>
  <c r="B99" i="18"/>
  <c r="D98" i="18"/>
  <c r="B98" i="18"/>
  <c r="D97" i="18"/>
  <c r="B97" i="18"/>
  <c r="D96" i="18"/>
  <c r="B96" i="18"/>
  <c r="D95" i="18"/>
  <c r="B95" i="18"/>
  <c r="D94" i="18"/>
  <c r="D92" i="18"/>
  <c r="B92" i="18"/>
  <c r="V10" i="20" l="1"/>
  <c r="W10" i="20" s="1"/>
  <c r="U7" i="20"/>
  <c r="D93" i="18" l="1"/>
  <c r="B93" i="18"/>
  <c r="B90" i="18" l="1"/>
  <c r="D91" i="18"/>
  <c r="B91" i="18"/>
  <c r="D90" i="18"/>
  <c r="D89" i="18"/>
  <c r="B89" i="18"/>
  <c r="F88" i="18" l="1"/>
  <c r="G88" i="18"/>
  <c r="D88" i="18"/>
  <c r="B88" i="18"/>
  <c r="D87" i="18"/>
  <c r="B87" i="18"/>
  <c r="D86" i="18" l="1"/>
  <c r="B86" i="18"/>
  <c r="D85" i="18"/>
  <c r="B85" i="18"/>
  <c r="D84" i="18" l="1"/>
  <c r="B84" i="18"/>
  <c r="M74" i="18"/>
  <c r="K74" i="18"/>
  <c r="M58" i="18" l="1"/>
  <c r="K58" i="18"/>
  <c r="F101" i="18" l="1"/>
  <c r="F100" i="18"/>
  <c r="H108" i="18"/>
  <c r="E108" i="18"/>
  <c r="C108" i="18"/>
  <c r="G106" i="18"/>
  <c r="F106" i="18"/>
  <c r="G105" i="18"/>
  <c r="F105" i="18"/>
  <c r="G104" i="18"/>
  <c r="F104" i="18"/>
  <c r="G103" i="18"/>
  <c r="F103" i="18"/>
  <c r="G102" i="18"/>
  <c r="F102" i="18"/>
  <c r="G101" i="18"/>
  <c r="G100" i="18"/>
  <c r="G99" i="18"/>
  <c r="F99" i="18"/>
  <c r="G98" i="18"/>
  <c r="F98" i="18"/>
  <c r="G97" i="18"/>
  <c r="F97" i="18"/>
  <c r="G96" i="18"/>
  <c r="F96" i="18"/>
  <c r="G95" i="18"/>
  <c r="F95" i="18"/>
  <c r="G94" i="18"/>
  <c r="F94" i="18"/>
  <c r="G93" i="18"/>
  <c r="F93" i="18"/>
  <c r="G92" i="18"/>
  <c r="F92" i="18"/>
  <c r="G91" i="18"/>
  <c r="F91" i="18"/>
  <c r="G90" i="18"/>
  <c r="F90" i="18"/>
  <c r="G89" i="18"/>
  <c r="F89" i="18"/>
  <c r="G87" i="18"/>
  <c r="F87" i="18"/>
  <c r="G86" i="18"/>
  <c r="F86" i="18"/>
  <c r="G85" i="18"/>
  <c r="F85" i="18"/>
  <c r="G84" i="18"/>
  <c r="D108" i="18"/>
  <c r="F84" i="18"/>
  <c r="G108" i="18" l="1"/>
  <c r="F108" i="18"/>
  <c r="F109" i="18" s="1"/>
  <c r="R28" i="18" s="1"/>
  <c r="B108" i="18"/>
  <c r="R12" i="20"/>
  <c r="S10" i="20"/>
  <c r="T10" i="20" s="1"/>
  <c r="M73" i="18" l="1"/>
  <c r="K73" i="18"/>
  <c r="M72" i="18"/>
  <c r="K72" i="18"/>
  <c r="M71" i="18"/>
  <c r="K71" i="18"/>
  <c r="M70" i="18" l="1"/>
  <c r="K70" i="18"/>
  <c r="K68" i="18"/>
  <c r="D73" i="18"/>
  <c r="B73" i="18"/>
  <c r="F6" i="21"/>
  <c r="F7" i="21"/>
  <c r="F8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F21" i="21"/>
  <c r="F5" i="21"/>
  <c r="F4" i="21"/>
  <c r="F3" i="21"/>
  <c r="S18" i="20" l="1"/>
  <c r="T18" i="20" s="1"/>
  <c r="AK18" i="20"/>
  <c r="AL18" i="20" s="1"/>
  <c r="AH18" i="20"/>
  <c r="AI18" i="20" s="1"/>
  <c r="AE18" i="20"/>
  <c r="AF18" i="20" s="1"/>
  <c r="AB18" i="20"/>
  <c r="AC18" i="20" s="1"/>
  <c r="Y18" i="20"/>
  <c r="Z18" i="20" s="1"/>
  <c r="V18" i="20"/>
  <c r="W18" i="20" s="1"/>
  <c r="P18" i="20"/>
  <c r="Q18" i="20" s="1"/>
  <c r="M18" i="20"/>
  <c r="N18" i="20" s="1"/>
  <c r="J18" i="20"/>
  <c r="K18" i="20" s="1"/>
  <c r="G18" i="20"/>
  <c r="H18" i="20" s="1"/>
  <c r="D18" i="20"/>
  <c r="E18" i="20" s="1"/>
  <c r="D70" i="18"/>
  <c r="AL14" i="20"/>
  <c r="AJ14" i="20"/>
  <c r="AI14" i="20"/>
  <c r="AG14" i="20"/>
  <c r="AF14" i="20"/>
  <c r="AD14" i="20"/>
  <c r="AC14" i="20"/>
  <c r="AA14" i="20"/>
  <c r="Z14" i="20"/>
  <c r="X14" i="20"/>
  <c r="W14" i="20"/>
  <c r="U14" i="20"/>
  <c r="M3" i="20"/>
  <c r="AK15" i="20" l="1"/>
  <c r="AL15" i="20" s="1"/>
  <c r="AH15" i="20"/>
  <c r="AI15" i="20" s="1"/>
  <c r="AE15" i="20"/>
  <c r="AF15" i="20" s="1"/>
  <c r="AB15" i="20"/>
  <c r="AC15" i="20" s="1"/>
  <c r="Y15" i="20"/>
  <c r="Z15" i="20" s="1"/>
  <c r="U15" i="20"/>
  <c r="V15" i="20" s="1"/>
  <c r="W15" i="20" s="1"/>
  <c r="S15" i="20"/>
  <c r="T15" i="20" s="1"/>
  <c r="P15" i="20"/>
  <c r="Q15" i="20" s="1"/>
  <c r="M15" i="20"/>
  <c r="N15" i="20" s="1"/>
  <c r="K15" i="20"/>
  <c r="J15" i="20"/>
  <c r="G15" i="20"/>
  <c r="H15" i="20" s="1"/>
  <c r="E15" i="20"/>
  <c r="D15" i="20"/>
  <c r="P10" i="20"/>
  <c r="Q10" i="20" s="1"/>
  <c r="M10" i="20"/>
  <c r="N10" i="20" s="1"/>
  <c r="J10" i="20"/>
  <c r="G10" i="20"/>
  <c r="D10" i="20"/>
  <c r="E10" i="20"/>
  <c r="H10" i="20"/>
  <c r="K10" i="20"/>
  <c r="AF3" i="19"/>
  <c r="AF4" i="19"/>
  <c r="AG4" i="19" s="1"/>
  <c r="AF5" i="19"/>
  <c r="AG5" i="19" s="1"/>
  <c r="AF6" i="19"/>
  <c r="AG6" i="19" s="1"/>
  <c r="AF7" i="19"/>
  <c r="AG7" i="19" s="1"/>
  <c r="AF8" i="19"/>
  <c r="AG8" i="19" s="1"/>
  <c r="AF9" i="19"/>
  <c r="AG9" i="19" s="1"/>
  <c r="AF10" i="19"/>
  <c r="AG10" i="19" s="1"/>
  <c r="AG11" i="19"/>
  <c r="AF12" i="19"/>
  <c r="AG12" i="19" s="1"/>
  <c r="AF13" i="19"/>
  <c r="AG13" i="19" s="1"/>
  <c r="M69" i="18"/>
  <c r="K69" i="18"/>
  <c r="AF14" i="19" l="1"/>
  <c r="AG3" i="19"/>
  <c r="AG14" i="19" s="1"/>
  <c r="H4" i="19"/>
  <c r="M68" i="18" l="1"/>
  <c r="O68" i="18"/>
  <c r="K67" i="18"/>
  <c r="M67" i="18"/>
  <c r="M66" i="18"/>
  <c r="K66" i="18"/>
  <c r="M65" i="18"/>
  <c r="K65" i="18"/>
  <c r="O65" i="18" s="1"/>
  <c r="M64" i="18"/>
  <c r="K64" i="18"/>
  <c r="M63" i="18"/>
  <c r="K63" i="18"/>
  <c r="M62" i="18"/>
  <c r="K62" i="18"/>
  <c r="O62" i="18" s="1"/>
  <c r="M61" i="18"/>
  <c r="K61" i="18"/>
  <c r="M60" i="18"/>
  <c r="K60" i="18"/>
  <c r="M59" i="18"/>
  <c r="K59" i="18"/>
  <c r="P58" i="18"/>
  <c r="P59" i="18"/>
  <c r="P60" i="18"/>
  <c r="P61" i="18"/>
  <c r="P62" i="18"/>
  <c r="P63" i="18"/>
  <c r="P64" i="18"/>
  <c r="P65" i="18"/>
  <c r="P66" i="18"/>
  <c r="P67" i="18"/>
  <c r="P68" i="18"/>
  <c r="P69" i="18"/>
  <c r="P70" i="18"/>
  <c r="P71" i="18"/>
  <c r="P72" i="18"/>
  <c r="P73" i="18"/>
  <c r="P74" i="18"/>
  <c r="O58" i="18"/>
  <c r="O59" i="18"/>
  <c r="O60" i="18"/>
  <c r="O61" i="18"/>
  <c r="O63" i="18"/>
  <c r="O64" i="18"/>
  <c r="O66" i="18"/>
  <c r="O67" i="18"/>
  <c r="O69" i="18"/>
  <c r="O70" i="18"/>
  <c r="O71" i="18"/>
  <c r="O72" i="18"/>
  <c r="O73" i="18"/>
  <c r="O74" i="18"/>
  <c r="P57" i="18"/>
  <c r="O57" i="18"/>
  <c r="M57" i="18"/>
  <c r="K57" i="18"/>
  <c r="O80" i="18" l="1"/>
  <c r="G78" i="18"/>
  <c r="D78" i="18"/>
  <c r="B78" i="18"/>
  <c r="F78" i="18"/>
  <c r="F58" i="18"/>
  <c r="F59" i="18"/>
  <c r="F60" i="18"/>
  <c r="F61" i="18"/>
  <c r="F62" i="18"/>
  <c r="F63" i="18"/>
  <c r="F64" i="18"/>
  <c r="F65" i="18"/>
  <c r="F66" i="18"/>
  <c r="F67" i="18"/>
  <c r="F68" i="18"/>
  <c r="F69" i="18"/>
  <c r="F70" i="18"/>
  <c r="F71" i="18"/>
  <c r="F72" i="18"/>
  <c r="F74" i="18"/>
  <c r="F75" i="18"/>
  <c r="F76" i="18"/>
  <c r="F77" i="18"/>
  <c r="G77" i="18"/>
  <c r="D77" i="18"/>
  <c r="B77" i="18"/>
  <c r="Q80" i="18" l="1"/>
  <c r="N80" i="18"/>
  <c r="L80" i="18"/>
  <c r="M80" i="18"/>
  <c r="P80" i="18"/>
  <c r="O81" i="18"/>
  <c r="K80" i="18" l="1"/>
  <c r="D76" i="18"/>
  <c r="B76" i="18"/>
  <c r="D75" i="18"/>
  <c r="B75" i="18"/>
  <c r="D74" i="18"/>
  <c r="B74" i="18"/>
  <c r="B71" i="18"/>
  <c r="D71" i="18"/>
  <c r="B70" i="18"/>
  <c r="G72" i="18"/>
  <c r="D72" i="18"/>
  <c r="B72" i="18"/>
  <c r="B66" i="18" l="1"/>
  <c r="D66" i="18"/>
  <c r="H80" i="18"/>
  <c r="G64" i="18"/>
  <c r="G65" i="18"/>
  <c r="D69" i="18"/>
  <c r="B69" i="18"/>
  <c r="D68" i="18"/>
  <c r="B68" i="18"/>
  <c r="D67" i="18"/>
  <c r="B67" i="18"/>
  <c r="D65" i="18"/>
  <c r="B65" i="18"/>
  <c r="D64" i="18"/>
  <c r="B64" i="18"/>
  <c r="D63" i="18"/>
  <c r="B63" i="18"/>
  <c r="D62" i="18"/>
  <c r="B62" i="18"/>
  <c r="D61" i="18"/>
  <c r="B61" i="18"/>
  <c r="D60" i="18"/>
  <c r="B60" i="18"/>
  <c r="D59" i="18"/>
  <c r="B59" i="18"/>
  <c r="D58" i="18"/>
  <c r="B58" i="18"/>
  <c r="D57" i="18"/>
  <c r="B57" i="18"/>
  <c r="N52" i="18"/>
  <c r="M52" i="18"/>
  <c r="L52" i="18"/>
  <c r="K52" i="18"/>
  <c r="M47" i="18"/>
  <c r="K47" i="18"/>
  <c r="M46" i="18"/>
  <c r="K46" i="18"/>
  <c r="E80" i="18"/>
  <c r="C80" i="18"/>
  <c r="G76" i="18"/>
  <c r="G75" i="18"/>
  <c r="G74" i="18"/>
  <c r="G73" i="18"/>
  <c r="G71" i="18"/>
  <c r="G70" i="18"/>
  <c r="G69" i="18"/>
  <c r="G68" i="18"/>
  <c r="G67" i="18"/>
  <c r="G66" i="18"/>
  <c r="G63" i="18"/>
  <c r="G62" i="18"/>
  <c r="G61" i="18"/>
  <c r="G60" i="18"/>
  <c r="G59" i="18"/>
  <c r="G58" i="18"/>
  <c r="G57" i="18"/>
  <c r="F57" i="18"/>
  <c r="F80" i="18" l="1"/>
  <c r="F81" i="18" s="1"/>
  <c r="D80" i="18"/>
  <c r="G80" i="18"/>
  <c r="B80" i="18"/>
  <c r="M45" i="18"/>
  <c r="K45" i="18"/>
  <c r="M44" i="18"/>
  <c r="K44" i="18"/>
  <c r="M43" i="18"/>
  <c r="K43" i="18"/>
  <c r="M42" i="18"/>
  <c r="K42" i="18"/>
  <c r="M41" i="18"/>
  <c r="K41" i="18"/>
  <c r="M40" i="18"/>
  <c r="K40" i="18"/>
  <c r="M39" i="18"/>
  <c r="K39" i="18"/>
  <c r="M38" i="18"/>
  <c r="K38" i="18"/>
  <c r="M37" i="18"/>
  <c r="K37" i="18"/>
  <c r="M36" i="18"/>
  <c r="K36" i="18"/>
  <c r="M35" i="18" l="1"/>
  <c r="K35" i="18"/>
  <c r="M34" i="18"/>
  <c r="K34" i="18"/>
  <c r="M33" i="18" l="1"/>
  <c r="K33" i="18"/>
  <c r="M32" i="18"/>
  <c r="P47" i="18" l="1"/>
  <c r="O47" i="18"/>
  <c r="P46" i="18"/>
  <c r="O46" i="18"/>
  <c r="P45" i="18"/>
  <c r="O45" i="18"/>
  <c r="P44" i="18"/>
  <c r="O44" i="18"/>
  <c r="P43" i="18"/>
  <c r="O43" i="18"/>
  <c r="P42" i="18"/>
  <c r="O42" i="18"/>
  <c r="P41" i="18"/>
  <c r="O41" i="18"/>
  <c r="P40" i="18"/>
  <c r="O40" i="18"/>
  <c r="P39" i="18"/>
  <c r="O39" i="18"/>
  <c r="P38" i="18"/>
  <c r="O38" i="18"/>
  <c r="P37" i="18"/>
  <c r="O37" i="18"/>
  <c r="P36" i="18"/>
  <c r="O36" i="18"/>
  <c r="P35" i="18"/>
  <c r="O35" i="18"/>
  <c r="P34" i="18"/>
  <c r="O34" i="18"/>
  <c r="P33" i="18"/>
  <c r="O33" i="18"/>
  <c r="P32" i="18"/>
  <c r="P52" i="18" s="1"/>
  <c r="O32" i="18"/>
  <c r="O52" i="18" s="1"/>
  <c r="O53" i="18" s="1"/>
  <c r="K32" i="18"/>
  <c r="M31" i="18" l="1"/>
  <c r="K31" i="18"/>
  <c r="P31" i="18"/>
  <c r="O31" i="18"/>
  <c r="E52" i="18"/>
  <c r="C52" i="18"/>
  <c r="D49" i="18"/>
  <c r="B49" i="18"/>
  <c r="D50" i="18" l="1"/>
  <c r="B50" i="18"/>
  <c r="J9" i="20" l="1"/>
  <c r="K9" i="20" s="1"/>
  <c r="J21" i="20"/>
  <c r="K21" i="20" s="1"/>
  <c r="G21" i="20"/>
  <c r="H21" i="20" s="1"/>
  <c r="AL21" i="20"/>
  <c r="AI21" i="20"/>
  <c r="AF21" i="20"/>
  <c r="AC21" i="20"/>
  <c r="Z21" i="20"/>
  <c r="W21" i="20"/>
  <c r="T21" i="20"/>
  <c r="Q21" i="20"/>
  <c r="N21" i="20"/>
  <c r="E21" i="20"/>
  <c r="K17" i="20"/>
  <c r="J20" i="20"/>
  <c r="K20" i="20" s="1"/>
  <c r="AK7" i="20"/>
  <c r="AH7" i="20"/>
  <c r="AI7" i="20" s="1"/>
  <c r="AE7" i="20"/>
  <c r="AF7" i="20" s="1"/>
  <c r="AB7" i="20"/>
  <c r="AC7" i="20" s="1"/>
  <c r="Y7" i="20"/>
  <c r="Z7" i="20" s="1"/>
  <c r="S7" i="20"/>
  <c r="T7" i="20" s="1"/>
  <c r="P7" i="20"/>
  <c r="Q7" i="20" s="1"/>
  <c r="M7" i="20"/>
  <c r="N7" i="20" s="1"/>
  <c r="J7" i="20"/>
  <c r="K7" i="20" s="1"/>
  <c r="G7" i="20"/>
  <c r="H7" i="20" s="1"/>
  <c r="AK5" i="20"/>
  <c r="AL5" i="20" s="1"/>
  <c r="AH5" i="20"/>
  <c r="AI5" i="20" s="1"/>
  <c r="AE5" i="20"/>
  <c r="AF5" i="20" s="1"/>
  <c r="AB5" i="20"/>
  <c r="Y5" i="20"/>
  <c r="S5" i="20"/>
  <c r="T5" i="20" s="1"/>
  <c r="P5" i="20"/>
  <c r="Q5" i="20" s="1"/>
  <c r="M5" i="20"/>
  <c r="N5" i="20" s="1"/>
  <c r="J5" i="20"/>
  <c r="K5" i="20" s="1"/>
  <c r="G5" i="20"/>
  <c r="H5" i="20" s="1"/>
  <c r="J13" i="20"/>
  <c r="K13" i="20" s="1"/>
  <c r="G13" i="20"/>
  <c r="H13" i="20" s="1"/>
  <c r="G9" i="20"/>
  <c r="H9" i="20" s="1"/>
  <c r="E9" i="20"/>
  <c r="J3" i="20"/>
  <c r="K3" i="20" s="1"/>
  <c r="AK3" i="20"/>
  <c r="AL3" i="20" s="1"/>
  <c r="AH3" i="20"/>
  <c r="AI3" i="20" s="1"/>
  <c r="AE3" i="20"/>
  <c r="AF3" i="20" s="1"/>
  <c r="AB3" i="20"/>
  <c r="AC3" i="20" s="1"/>
  <c r="Y3" i="20"/>
  <c r="Z3" i="20" s="1"/>
  <c r="V3" i="20"/>
  <c r="W3" i="20" s="1"/>
  <c r="S3" i="20"/>
  <c r="T3" i="20" s="1"/>
  <c r="P3" i="20"/>
  <c r="Q3" i="20" s="1"/>
  <c r="N3" i="20"/>
  <c r="K13" i="19"/>
  <c r="L13" i="19" s="1"/>
  <c r="K3" i="19"/>
  <c r="K10" i="19"/>
  <c r="L10" i="19" s="1"/>
  <c r="K8" i="19"/>
  <c r="L8" i="19" s="1"/>
  <c r="K12" i="19"/>
  <c r="L12" i="19" s="1"/>
  <c r="K6" i="19"/>
  <c r="L6" i="19" s="1"/>
  <c r="K11" i="19"/>
  <c r="L11" i="19" s="1"/>
  <c r="K4" i="19"/>
  <c r="L4" i="19" s="1"/>
  <c r="K5" i="19"/>
  <c r="L5" i="19" s="1"/>
  <c r="K9" i="19"/>
  <c r="L9" i="19" s="1"/>
  <c r="K7" i="19"/>
  <c r="L7" i="19" s="1"/>
  <c r="I4" i="19"/>
  <c r="H13" i="19"/>
  <c r="I13" i="19" s="1"/>
  <c r="H3" i="19"/>
  <c r="I3" i="19" s="1"/>
  <c r="H10" i="19"/>
  <c r="I10" i="19" s="1"/>
  <c r="H8" i="19"/>
  <c r="I8" i="19" s="1"/>
  <c r="H12" i="19"/>
  <c r="I12" i="19" s="1"/>
  <c r="H6" i="19"/>
  <c r="I6" i="19" s="1"/>
  <c r="H11" i="19"/>
  <c r="I11" i="19" s="1"/>
  <c r="H5" i="19"/>
  <c r="I5" i="19" s="1"/>
  <c r="H9" i="19"/>
  <c r="I9" i="19" s="1"/>
  <c r="H7" i="19"/>
  <c r="I7" i="19" s="1"/>
  <c r="G17" i="20"/>
  <c r="D17" i="20"/>
  <c r="E17" i="20" s="1"/>
  <c r="AL17" i="20"/>
  <c r="AI17" i="20"/>
  <c r="AF17" i="20"/>
  <c r="AC17" i="20"/>
  <c r="Z17" i="20"/>
  <c r="W17" i="20"/>
  <c r="T17" i="20"/>
  <c r="Q17" i="20"/>
  <c r="N17" i="20"/>
  <c r="I17" i="20"/>
  <c r="L17" i="20" s="1"/>
  <c r="O17" i="20" s="1"/>
  <c r="R17" i="20" s="1"/>
  <c r="U17" i="20" s="1"/>
  <c r="X17" i="20" s="1"/>
  <c r="AA17" i="20" s="1"/>
  <c r="AD17" i="20" s="1"/>
  <c r="AG17" i="20" s="1"/>
  <c r="AJ17" i="20" s="1"/>
  <c r="H17" i="20"/>
  <c r="F17" i="20"/>
  <c r="G20" i="20"/>
  <c r="H20" i="20" s="1"/>
  <c r="G14" i="20"/>
  <c r="H14" i="20" s="1"/>
  <c r="AL20" i="20"/>
  <c r="AI20" i="20"/>
  <c r="AF20" i="20"/>
  <c r="AC20" i="20"/>
  <c r="Z20" i="20"/>
  <c r="W20" i="20"/>
  <c r="T20" i="20"/>
  <c r="Q20" i="20"/>
  <c r="N20" i="20"/>
  <c r="I20" i="20"/>
  <c r="L20" i="20" s="1"/>
  <c r="O20" i="20" s="1"/>
  <c r="R20" i="20" s="1"/>
  <c r="U20" i="20" s="1"/>
  <c r="X20" i="20" s="1"/>
  <c r="AA20" i="20" s="1"/>
  <c r="AD20" i="20" s="1"/>
  <c r="AJ20" i="20" s="1"/>
  <c r="F20" i="20"/>
  <c r="E20" i="20"/>
  <c r="AL9" i="20"/>
  <c r="AI9" i="20"/>
  <c r="AF9" i="20"/>
  <c r="AC9" i="20"/>
  <c r="Z9" i="20"/>
  <c r="W9" i="20"/>
  <c r="T9" i="20"/>
  <c r="Q9" i="20"/>
  <c r="N9" i="20"/>
  <c r="I9" i="20"/>
  <c r="L9" i="20" s="1"/>
  <c r="O9" i="20" s="1"/>
  <c r="R9" i="20" s="1"/>
  <c r="U9" i="20" s="1"/>
  <c r="X9" i="20" s="1"/>
  <c r="AA9" i="20" s="1"/>
  <c r="AD9" i="20" s="1"/>
  <c r="AG9" i="20" s="1"/>
  <c r="AJ9" i="20" s="1"/>
  <c r="F9" i="20"/>
  <c r="E13" i="20"/>
  <c r="AL13" i="20"/>
  <c r="AI13" i="20"/>
  <c r="AF13" i="20"/>
  <c r="AC13" i="20"/>
  <c r="Z13" i="20"/>
  <c r="W13" i="20"/>
  <c r="T13" i="20"/>
  <c r="Q13" i="20"/>
  <c r="N13" i="20"/>
  <c r="I13" i="20"/>
  <c r="L13" i="20" s="1"/>
  <c r="O13" i="20" s="1"/>
  <c r="R13" i="20" s="1"/>
  <c r="U13" i="20" s="1"/>
  <c r="X13" i="20" s="1"/>
  <c r="AA13" i="20" s="1"/>
  <c r="AD13" i="20" s="1"/>
  <c r="AG13" i="20" s="1"/>
  <c r="AJ13" i="20" s="1"/>
  <c r="F13" i="20"/>
  <c r="J14" i="20"/>
  <c r="K14" i="20" s="1"/>
  <c r="T14" i="20"/>
  <c r="Q14" i="20"/>
  <c r="N14" i="20"/>
  <c r="AL12" i="20"/>
  <c r="AI12" i="20"/>
  <c r="AF12" i="20"/>
  <c r="AC12" i="20"/>
  <c r="Z12" i="20"/>
  <c r="W12" i="20"/>
  <c r="T12" i="20"/>
  <c r="Q12" i="20"/>
  <c r="N12" i="20"/>
  <c r="K12" i="20"/>
  <c r="D14" i="20"/>
  <c r="E14" i="20" s="1"/>
  <c r="I14" i="20"/>
  <c r="L14" i="20" s="1"/>
  <c r="O14" i="20" s="1"/>
  <c r="R14" i="20" s="1"/>
  <c r="F14" i="20"/>
  <c r="G12" i="20"/>
  <c r="H12" i="20" s="1"/>
  <c r="I12" i="20"/>
  <c r="L12" i="20" s="1"/>
  <c r="O12" i="20" s="1"/>
  <c r="U12" i="20" s="1"/>
  <c r="X12" i="20" s="1"/>
  <c r="AA12" i="20" s="1"/>
  <c r="AD12" i="20" s="1"/>
  <c r="AG12" i="20" s="1"/>
  <c r="AJ12" i="20" s="1"/>
  <c r="F12" i="20"/>
  <c r="E12" i="20"/>
  <c r="AC5" i="20" l="1"/>
  <c r="Z5" i="20"/>
  <c r="L3" i="19"/>
  <c r="K14" i="19"/>
  <c r="L14" i="19"/>
  <c r="D48" i="18"/>
  <c r="B48" i="18"/>
  <c r="D47" i="18"/>
  <c r="B47" i="18"/>
  <c r="D46" i="18" l="1"/>
  <c r="B46" i="18"/>
  <c r="D45" i="18" l="1"/>
  <c r="B45" i="18"/>
  <c r="D44" i="18"/>
  <c r="B44" i="18"/>
  <c r="D43" i="18"/>
  <c r="B43" i="18"/>
  <c r="D42" i="18" l="1"/>
  <c r="B42" i="18"/>
  <c r="D41" i="18"/>
  <c r="B41" i="18"/>
  <c r="D40" i="18" l="1"/>
  <c r="B40" i="18"/>
  <c r="D39" i="18"/>
  <c r="B39" i="18"/>
  <c r="D38" i="18" l="1"/>
  <c r="B38" i="18"/>
  <c r="D37" i="18" l="1"/>
  <c r="B37" i="18"/>
  <c r="D36" i="18"/>
  <c r="B36" i="18"/>
  <c r="D35" i="18" l="1"/>
  <c r="B35" i="18"/>
  <c r="F35" i="18" s="1"/>
  <c r="D34" i="18"/>
  <c r="B34" i="18"/>
  <c r="F34" i="18" s="1"/>
  <c r="D33" i="18"/>
  <c r="B33" i="18"/>
  <c r="F33" i="18" s="1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50" i="18"/>
  <c r="D32" i="18"/>
  <c r="B32" i="18"/>
  <c r="F32" i="18" l="1"/>
  <c r="G31" i="18"/>
  <c r="G52" i="18" s="1"/>
  <c r="D31" i="18"/>
  <c r="D52" i="18" s="1"/>
  <c r="B31" i="18"/>
  <c r="M24" i="18"/>
  <c r="K24" i="18"/>
  <c r="F31" i="18" l="1"/>
  <c r="F52" i="18" s="1"/>
  <c r="F53" i="18" s="1"/>
  <c r="B52" i="18"/>
  <c r="K23" i="18"/>
  <c r="O24" i="18"/>
  <c r="M23" i="18"/>
  <c r="P22" i="18"/>
  <c r="M22" i="18"/>
  <c r="K22" i="18"/>
  <c r="O22" i="18" s="1"/>
  <c r="M21" i="18"/>
  <c r="K21" i="18"/>
  <c r="O21" i="18" s="1"/>
  <c r="O23" i="18" l="1"/>
  <c r="M20" i="18"/>
  <c r="K20" i="18"/>
  <c r="M19" i="18"/>
  <c r="K19" i="18"/>
  <c r="M18" i="18"/>
  <c r="K18" i="18"/>
  <c r="M17" i="18"/>
  <c r="K17" i="18"/>
  <c r="M16" i="18"/>
  <c r="K16" i="18"/>
  <c r="M15" i="18" l="1"/>
  <c r="K15" i="18"/>
  <c r="M14" i="18"/>
  <c r="K14" i="18"/>
  <c r="M13" i="18"/>
  <c r="K13" i="18"/>
  <c r="M12" i="18" l="1"/>
  <c r="K12" i="18"/>
  <c r="M11" i="18"/>
  <c r="K11" i="18"/>
  <c r="M10" i="18"/>
  <c r="K10" i="18"/>
  <c r="M9" i="18"/>
  <c r="K9" i="18"/>
  <c r="M8" i="18"/>
  <c r="K8" i="18"/>
  <c r="M7" i="18"/>
  <c r="K7" i="18"/>
  <c r="M6" i="18"/>
  <c r="K6" i="18"/>
  <c r="M5" i="18" l="1"/>
  <c r="K5" i="18"/>
  <c r="F22" i="18"/>
  <c r="G22" i="18"/>
  <c r="D22" i="18"/>
  <c r="B22" i="18"/>
  <c r="B25" i="18"/>
  <c r="D25" i="18"/>
  <c r="D24" i="18"/>
  <c r="B24" i="18"/>
  <c r="D23" i="18"/>
  <c r="B23" i="18"/>
  <c r="D21" i="18"/>
  <c r="B21" i="18"/>
  <c r="D20" i="18"/>
  <c r="B20" i="18"/>
  <c r="E13" i="19" l="1"/>
  <c r="F13" i="19" s="1"/>
  <c r="E3" i="19"/>
  <c r="E10" i="19"/>
  <c r="F10" i="19" s="1"/>
  <c r="E8" i="19"/>
  <c r="F8" i="19" s="1"/>
  <c r="E12" i="19"/>
  <c r="F12" i="19" s="1"/>
  <c r="E6" i="19"/>
  <c r="F6" i="19" s="1"/>
  <c r="E11" i="19"/>
  <c r="F11" i="19" s="1"/>
  <c r="E4" i="19"/>
  <c r="E5" i="19"/>
  <c r="F5" i="19" s="1"/>
  <c r="E9" i="19"/>
  <c r="F9" i="19" s="1"/>
  <c r="E7" i="19"/>
  <c r="F7" i="19" s="1"/>
  <c r="G3" i="20"/>
  <c r="H3" i="20" s="1"/>
  <c r="D3" i="20"/>
  <c r="E3" i="20" s="1"/>
  <c r="U5" i="20"/>
  <c r="V5" i="20" s="1"/>
  <c r="W5" i="20" s="1"/>
  <c r="D5" i="20"/>
  <c r="E5" i="20" s="1"/>
  <c r="V7" i="20"/>
  <c r="W7" i="20" s="1"/>
  <c r="D7" i="20"/>
  <c r="E7" i="20" s="1"/>
  <c r="F3" i="19" l="1"/>
  <c r="E14" i="19"/>
  <c r="F4" i="19"/>
  <c r="F14" i="19" s="1"/>
  <c r="G22" i="20"/>
  <c r="K22" i="20"/>
  <c r="M22" i="20"/>
  <c r="J22" i="20"/>
  <c r="S22" i="20"/>
  <c r="S28" i="18"/>
  <c r="V22" i="20"/>
  <c r="AK22" i="20"/>
  <c r="AL7" i="20"/>
  <c r="AL22" i="20" s="1"/>
  <c r="P22" i="20"/>
  <c r="H22" i="20"/>
  <c r="AC9" i="19"/>
  <c r="AD9" i="19" s="1"/>
  <c r="Z9" i="19"/>
  <c r="AA9" i="19" s="1"/>
  <c r="W9" i="19"/>
  <c r="X9" i="19" s="1"/>
  <c r="T9" i="19"/>
  <c r="U9" i="19" s="1"/>
  <c r="Q9" i="19"/>
  <c r="R9" i="19" s="1"/>
  <c r="N9" i="19"/>
  <c r="O9" i="19" s="1"/>
  <c r="AC5" i="19"/>
  <c r="AD5" i="19" s="1"/>
  <c r="Z5" i="19"/>
  <c r="AA5" i="19" s="1"/>
  <c r="W5" i="19"/>
  <c r="X5" i="19" s="1"/>
  <c r="T5" i="19"/>
  <c r="U5" i="19" s="1"/>
  <c r="Q5" i="19"/>
  <c r="R5" i="19" s="1"/>
  <c r="N5" i="19"/>
  <c r="O5" i="19" s="1"/>
  <c r="AC4" i="19"/>
  <c r="AD4" i="19" s="1"/>
  <c r="Z4" i="19"/>
  <c r="AA4" i="19" s="1"/>
  <c r="W4" i="19"/>
  <c r="X4" i="19" s="1"/>
  <c r="T4" i="19"/>
  <c r="U4" i="19" s="1"/>
  <c r="Q4" i="19"/>
  <c r="R4" i="19" s="1"/>
  <c r="N4" i="19"/>
  <c r="O4" i="19" s="1"/>
  <c r="AC11" i="19"/>
  <c r="AD11" i="19" s="1"/>
  <c r="Z11" i="19"/>
  <c r="AA11" i="19" s="1"/>
  <c r="W11" i="19"/>
  <c r="X11" i="19" s="1"/>
  <c r="T11" i="19"/>
  <c r="U11" i="19" s="1"/>
  <c r="Q11" i="19"/>
  <c r="R11" i="19" s="1"/>
  <c r="N11" i="19"/>
  <c r="O11" i="19" s="1"/>
  <c r="AC6" i="19"/>
  <c r="AD6" i="19" s="1"/>
  <c r="Z6" i="19"/>
  <c r="AA6" i="19" s="1"/>
  <c r="W6" i="19"/>
  <c r="X6" i="19" s="1"/>
  <c r="T6" i="19"/>
  <c r="U6" i="19" s="1"/>
  <c r="Q6" i="19"/>
  <c r="R6" i="19" s="1"/>
  <c r="N6" i="19"/>
  <c r="O6" i="19" s="1"/>
  <c r="AC12" i="19"/>
  <c r="AD12" i="19" s="1"/>
  <c r="Z12" i="19"/>
  <c r="AA12" i="19" s="1"/>
  <c r="W12" i="19"/>
  <c r="X12" i="19" s="1"/>
  <c r="T12" i="19"/>
  <c r="U12" i="19" s="1"/>
  <c r="Q12" i="19"/>
  <c r="R12" i="19" s="1"/>
  <c r="N12" i="19"/>
  <c r="O12" i="19" s="1"/>
  <c r="AC8" i="19"/>
  <c r="AD8" i="19" s="1"/>
  <c r="Z8" i="19"/>
  <c r="AA8" i="19" s="1"/>
  <c r="W8" i="19"/>
  <c r="X8" i="19" s="1"/>
  <c r="T8" i="19"/>
  <c r="U8" i="19" s="1"/>
  <c r="Q8" i="19"/>
  <c r="R8" i="19" s="1"/>
  <c r="N8" i="19"/>
  <c r="O8" i="19" s="1"/>
  <c r="AC10" i="19"/>
  <c r="AD10" i="19" s="1"/>
  <c r="Z10" i="19"/>
  <c r="AA10" i="19" s="1"/>
  <c r="W10" i="19"/>
  <c r="X10" i="19" s="1"/>
  <c r="T10" i="19"/>
  <c r="U10" i="19" s="1"/>
  <c r="Q10" i="19"/>
  <c r="R10" i="19" s="1"/>
  <c r="N10" i="19"/>
  <c r="O10" i="19" s="1"/>
  <c r="AC3" i="19"/>
  <c r="Z3" i="19"/>
  <c r="W3" i="19"/>
  <c r="T3" i="19"/>
  <c r="Q3" i="19"/>
  <c r="N3" i="19"/>
  <c r="AC13" i="19"/>
  <c r="AD13" i="19" s="1"/>
  <c r="Z13" i="19"/>
  <c r="AA13" i="19" s="1"/>
  <c r="W13" i="19"/>
  <c r="X13" i="19" s="1"/>
  <c r="T13" i="19"/>
  <c r="U13" i="19" s="1"/>
  <c r="Q13" i="19"/>
  <c r="R13" i="19" s="1"/>
  <c r="N13" i="19"/>
  <c r="O13" i="19" s="1"/>
  <c r="AC7" i="19"/>
  <c r="AD7" i="19" s="1"/>
  <c r="Z7" i="19"/>
  <c r="AA7" i="19" s="1"/>
  <c r="W7" i="19"/>
  <c r="X7" i="19" s="1"/>
  <c r="T7" i="19"/>
  <c r="U7" i="19" s="1"/>
  <c r="Q7" i="19"/>
  <c r="R7" i="19" s="1"/>
  <c r="N7" i="19"/>
  <c r="O7" i="19" s="1"/>
  <c r="R3" i="19" l="1"/>
  <c r="R14" i="19" s="1"/>
  <c r="Q14" i="19"/>
  <c r="AC14" i="19"/>
  <c r="AD3" i="19"/>
  <c r="AD14" i="19" s="1"/>
  <c r="N14" i="19"/>
  <c r="O3" i="19"/>
  <c r="O14" i="19" s="1"/>
  <c r="U3" i="19"/>
  <c r="U14" i="19" s="1"/>
  <c r="T14" i="19"/>
  <c r="X3" i="19"/>
  <c r="X14" i="19" s="1"/>
  <c r="W14" i="19"/>
  <c r="Z14" i="19"/>
  <c r="AA3" i="19"/>
  <c r="AA14" i="19" s="1"/>
  <c r="I14" i="19"/>
  <c r="S23" i="20"/>
  <c r="S24" i="20" s="1"/>
  <c r="S25" i="20" s="1"/>
  <c r="B19" i="18"/>
  <c r="D19" i="18"/>
  <c r="D18" i="18" l="1"/>
  <c r="B18" i="18"/>
  <c r="D17" i="18" l="1"/>
  <c r="B17" i="18"/>
  <c r="D16" i="18" l="1"/>
  <c r="B16" i="18"/>
  <c r="D15" i="18" l="1"/>
  <c r="B15" i="18"/>
  <c r="D14" i="18"/>
  <c r="B14" i="18"/>
  <c r="D13" i="18" l="1"/>
  <c r="B13" i="18"/>
  <c r="D12" i="18" l="1"/>
  <c r="B12" i="18"/>
  <c r="N27" i="18" l="1"/>
  <c r="L27" i="18"/>
  <c r="P24" i="18"/>
  <c r="P23" i="18"/>
  <c r="P21" i="18"/>
  <c r="P20" i="18"/>
  <c r="O20" i="18"/>
  <c r="P19" i="18"/>
  <c r="O19" i="18"/>
  <c r="P18" i="18"/>
  <c r="O18" i="18"/>
  <c r="P17" i="18"/>
  <c r="O17" i="18"/>
  <c r="P16" i="18"/>
  <c r="O16" i="18"/>
  <c r="P15" i="18"/>
  <c r="O15" i="18"/>
  <c r="P14" i="18"/>
  <c r="O14" i="18"/>
  <c r="P13" i="18"/>
  <c r="O13" i="18"/>
  <c r="P12" i="18"/>
  <c r="O12" i="18"/>
  <c r="P11" i="18"/>
  <c r="K27" i="18"/>
  <c r="P10" i="18"/>
  <c r="O10" i="18"/>
  <c r="P9" i="18"/>
  <c r="O9" i="18"/>
  <c r="P8" i="18"/>
  <c r="O8" i="18"/>
  <c r="P7" i="18"/>
  <c r="O7" i="18"/>
  <c r="P6" i="18"/>
  <c r="O6" i="18"/>
  <c r="P5" i="18"/>
  <c r="M27" i="18"/>
  <c r="P27" i="18" l="1"/>
  <c r="O5" i="18"/>
  <c r="O11" i="18"/>
  <c r="D11" i="18"/>
  <c r="B11" i="18"/>
  <c r="O27" i="18" l="1"/>
  <c r="O28" i="18" s="1"/>
  <c r="D10" i="18"/>
  <c r="D9" i="18"/>
  <c r="D8" i="18" l="1"/>
  <c r="D6" i="18" l="1"/>
  <c r="D5" i="18"/>
  <c r="E27" i="18"/>
  <c r="C27" i="18"/>
  <c r="B27" i="18"/>
  <c r="G25" i="18"/>
  <c r="F25" i="18"/>
  <c r="G24" i="18"/>
  <c r="F24" i="18"/>
  <c r="G23" i="18"/>
  <c r="F23" i="18"/>
  <c r="G21" i="18"/>
  <c r="F21" i="18"/>
  <c r="G20" i="18"/>
  <c r="F20" i="18"/>
  <c r="G19" i="18"/>
  <c r="F19" i="18"/>
  <c r="G18" i="18"/>
  <c r="F18" i="18"/>
  <c r="G17" i="18"/>
  <c r="F17" i="18"/>
  <c r="G16" i="18"/>
  <c r="F16" i="18"/>
  <c r="G15" i="18"/>
  <c r="F15" i="18"/>
  <c r="G14" i="18"/>
  <c r="F14" i="18"/>
  <c r="G13" i="18"/>
  <c r="F13" i="18"/>
  <c r="G12" i="18"/>
  <c r="F12" i="18"/>
  <c r="G11" i="18"/>
  <c r="F11" i="18"/>
  <c r="G10" i="18"/>
  <c r="F10" i="18"/>
  <c r="G9" i="18"/>
  <c r="F9" i="18"/>
  <c r="G8" i="18"/>
  <c r="F8" i="18"/>
  <c r="G7" i="18"/>
  <c r="F7" i="18"/>
  <c r="G6" i="18"/>
  <c r="F6" i="18"/>
  <c r="G5" i="18"/>
  <c r="F5" i="18"/>
  <c r="G27" i="18" l="1"/>
  <c r="F27" i="18"/>
  <c r="F28" i="18" s="1"/>
  <c r="D27" i="18"/>
</calcChain>
</file>

<file path=xl/sharedStrings.xml><?xml version="1.0" encoding="utf-8"?>
<sst xmlns="http://schemas.openxmlformats.org/spreadsheetml/2006/main" count="352" uniqueCount="144">
  <si>
    <t>Valor</t>
  </si>
  <si>
    <t xml:space="preserve">OFIC. JUDICIAL Y CONSIGNACIONES </t>
  </si>
  <si>
    <t># RECIBO</t>
  </si>
  <si>
    <t xml:space="preserve">JUZGADOS Y DIRECCIÓN </t>
  </si>
  <si>
    <t>TOTAL COPIAS</t>
  </si>
  <si>
    <t>TOTAL RECIB.</t>
  </si>
  <si>
    <t>TOTALES</t>
  </si>
  <si>
    <t>ENERO</t>
  </si>
  <si>
    <t>FEBRERO</t>
  </si>
  <si>
    <t>SUPERVISIÓN CARTA DE ACEPTACIÓN NRO. 47 DE 2018 VF 2019 TOOOTINTAS SAS</t>
  </si>
  <si>
    <t>Despacho</t>
  </si>
  <si>
    <t xml:space="preserve">Contador inicial </t>
  </si>
  <si>
    <t xml:space="preserve">Contador Final </t>
  </si>
  <si>
    <t>Cantidad de Copias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</si>
  <si>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</si>
  <si>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</si>
  <si>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</si>
  <si>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</si>
  <si>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</si>
  <si>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</si>
  <si>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</si>
  <si>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</si>
  <si>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 xml:space="preserve">Agosto </t>
  </si>
  <si>
    <t>Tribunal Administrativo del Quindío</t>
  </si>
  <si>
    <t>Consejo Seccional de la Judicatura</t>
  </si>
  <si>
    <t>Calarca Q.</t>
  </si>
  <si>
    <t>Centro de Servicios Administrativos  de Ejecución de Penas y Medidas de Seguridad</t>
  </si>
  <si>
    <t>Archivo Central</t>
  </si>
  <si>
    <t>Unidad de Infancia y Adolescencia</t>
  </si>
  <si>
    <t xml:space="preserve">Sala Disciplinaria </t>
  </si>
  <si>
    <t>Edificio Cervantes</t>
  </si>
  <si>
    <t>Edificio Gomez -  Centro de Servicios</t>
  </si>
  <si>
    <t>Centro de Servicios Judiciales - Juzgados Penales</t>
  </si>
  <si>
    <t>Subtotales</t>
  </si>
  <si>
    <t>MUNICIPIOS</t>
  </si>
  <si>
    <t>LUGAR</t>
  </si>
  <si>
    <t>MARZO</t>
  </si>
  <si>
    <t>ABRIL</t>
  </si>
  <si>
    <t>CONTADORES</t>
  </si>
  <si>
    <t>CANTIDAD</t>
  </si>
  <si>
    <t>VALOR</t>
  </si>
  <si>
    <t>BUENAVISTA</t>
  </si>
  <si>
    <t>CIRCASIA</t>
  </si>
  <si>
    <t>Maq. Contador inicial</t>
  </si>
  <si>
    <t>Contador Final</t>
  </si>
  <si>
    <t>CORDOBA</t>
  </si>
  <si>
    <t xml:space="preserve">FILANDIA </t>
  </si>
  <si>
    <t>GENOVA</t>
  </si>
  <si>
    <t>MONTENEGRO</t>
  </si>
  <si>
    <t>PIJAO</t>
  </si>
  <si>
    <t>Papeleria Santa Tereisa Liceux
7544031</t>
  </si>
  <si>
    <t>SALENTO</t>
  </si>
  <si>
    <t>TOTAL</t>
  </si>
  <si>
    <t>Tribunal Superior de Armenia Quindío</t>
  </si>
  <si>
    <t>DICIEMBRE DE 2018</t>
  </si>
  <si>
    <t>ENERO DE 2019</t>
  </si>
  <si>
    <t>FEBRERO DE 2019</t>
  </si>
  <si>
    <t>MARZO DE 2019</t>
  </si>
  <si>
    <t>ABRIL DE 2019</t>
  </si>
  <si>
    <t>MAYO DE 2019</t>
  </si>
  <si>
    <t>JUNIO DE 2019</t>
  </si>
  <si>
    <t>JULIO DE 2019</t>
  </si>
  <si>
    <t>AGOSTO DE 2019</t>
  </si>
  <si>
    <t>SEPTIEMBRE DE 2019</t>
  </si>
  <si>
    <t>OCTUBRE DE 2019</t>
  </si>
  <si>
    <t>NOVIEMBRE  DE 2019</t>
  </si>
  <si>
    <t xml:space="preserve">Papelería La Esquina del Ofertazo </t>
  </si>
  <si>
    <t>N/A</t>
  </si>
  <si>
    <t>Papelería Internet casa grande</t>
  </si>
  <si>
    <t>QUIMBAYA</t>
  </si>
  <si>
    <t>Papelería Algo mas QYA</t>
  </si>
  <si>
    <t>Papelería Lapiz y Papel</t>
  </si>
  <si>
    <t>Papelería Variedades Samy</t>
  </si>
  <si>
    <t>TEBAIDA</t>
  </si>
  <si>
    <t xml:space="preserve">Papelería Uno A </t>
  </si>
  <si>
    <t>MXCCD8608L</t>
  </si>
  <si>
    <t>MXDCFCT0FS</t>
  </si>
  <si>
    <t>MXDCF470X3</t>
  </si>
  <si>
    <t>MXDCDDW01L</t>
  </si>
  <si>
    <t>MXDCF411LN</t>
  </si>
  <si>
    <t>MXCCD8601P</t>
  </si>
  <si>
    <t>MXDCFD41M5</t>
  </si>
  <si>
    <t>MXDCF911SD</t>
  </si>
  <si>
    <t>MXDCF470XJ</t>
  </si>
  <si>
    <t>MAYO</t>
  </si>
  <si>
    <t>JUNIO</t>
  </si>
  <si>
    <t>CANT. RESMAS</t>
  </si>
  <si>
    <t>CONCEPTO</t>
  </si>
  <si>
    <t xml:space="preserve">FECHA </t>
  </si>
  <si>
    <t>VALOR UNITARIO</t>
  </si>
  <si>
    <t>VALOR TOTAL</t>
  </si>
  <si>
    <t>CANT.</t>
  </si>
  <si>
    <t>Vinilos unidades - frases</t>
  </si>
  <si>
    <t>Vinilos imágenes cascos - perro</t>
  </si>
  <si>
    <t>Pendones pliego color</t>
  </si>
  <si>
    <t xml:space="preserve">Copias impresas a color </t>
  </si>
  <si>
    <t xml:space="preserve">Argollado oficio </t>
  </si>
  <si>
    <t>Afiches</t>
  </si>
  <si>
    <t xml:space="preserve">Folletos doble cara a color </t>
  </si>
  <si>
    <t>Pendon</t>
  </si>
  <si>
    <t xml:space="preserve">Afiche color </t>
  </si>
  <si>
    <t>JULIO</t>
  </si>
  <si>
    <t>AGOSTO</t>
  </si>
  <si>
    <t>Maquina 1</t>
  </si>
  <si>
    <t>Contador inicial</t>
  </si>
  <si>
    <t>contador final</t>
  </si>
  <si>
    <t>Nro copias</t>
  </si>
  <si>
    <t>Maquina 2</t>
  </si>
  <si>
    <t>total copias</t>
  </si>
  <si>
    <t>SEPTIEMBRE</t>
  </si>
  <si>
    <t>OCTUBRE</t>
  </si>
  <si>
    <t>NOVIEMBRE</t>
  </si>
  <si>
    <t>Septiembre</t>
  </si>
  <si>
    <t xml:space="preserve">Octubre </t>
  </si>
  <si>
    <t>Noviembre</t>
  </si>
  <si>
    <t>PARO</t>
  </si>
  <si>
    <t>DICIEMBRE</t>
  </si>
  <si>
    <t>promedio palacio</t>
  </si>
  <si>
    <t>gomez</t>
  </si>
  <si>
    <t>cervantes</t>
  </si>
  <si>
    <t>adolescentes</t>
  </si>
  <si>
    <t>carlaca</t>
  </si>
  <si>
    <t>ejecucion</t>
  </si>
  <si>
    <t>UBICACIÓN DE LAS FOTOCOPIADORAS</t>
  </si>
  <si>
    <t>CANTIDAD  DE FOTOCOPIAS ESTIMADAS DE ACUERDO AL PRESUPUESTO ASIGNADO</t>
  </si>
  <si>
    <t>VALOR UNITARIO COTIZADO POR LA EMPRESA TOOTINTAS SAS</t>
  </si>
  <si>
    <t>VALOR UNITARIO COTIZADO POR LA EMPRESA CARLOS ARTURO ROJAS (MAKALU)</t>
  </si>
  <si>
    <t>VALOR UNITARIO PROMEDIO POR FOTOCOPIA INCLUIDO IVA</t>
  </si>
  <si>
    <t>VALOR TOTAL INCLUIDO IVA</t>
  </si>
  <si>
    <t>Palacio de Justicia “Fabio Calderón Botero”: Este arrendamiento incluye un (1) operario.</t>
  </si>
  <si>
    <t xml:space="preserve">Palacio de Justicia “Fabio Calderón Botero”: Este arrendamiento sin operario </t>
  </si>
  <si>
    <t>Edificio Gomez</t>
  </si>
  <si>
    <t xml:space="preserve">sede Adolescentes </t>
  </si>
  <si>
    <t>Calarca</t>
  </si>
  <si>
    <t>Génova, Pijao, Córdoba, Buenavista, Salento, Circasia, Quimbaya, Montenegro, Filandia y la Tebaida</t>
  </si>
  <si>
    <t xml:space="preserve">VALOR TOTAL PROMEDIO </t>
  </si>
  <si>
    <t>VALOR UNITARIO INCLUIDO IVA</t>
  </si>
  <si>
    <t>TOTAL OFERTA ECONOMICA INCLUIDO IVA</t>
  </si>
  <si>
    <t>$</t>
  </si>
  <si>
    <t>VIGENCIA 2020</t>
  </si>
  <si>
    <t>UNIDAD EJECUTORA 8</t>
  </si>
  <si>
    <t>UNIDAD EJECUTORA 2</t>
  </si>
  <si>
    <t>Edificio Gomez Este arrendamiento incluye un (1) operario.</t>
  </si>
  <si>
    <t>PRESUPUESTO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</si>
</sst>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-[$$-240A]* #,##0_-;\-[$$-240A]* #,##0_-;_-[$$-240A]* &quot;-&quot;??_-;_-@_-"/>
    <numFmt numFmtId="167" formatCode="[$$-240A]\ #,##0"/>
    <numFmt numFmtId="168" formatCode="&quot;$&quot;#,##0"/>
    <numFmt numFmtId="169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0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3" fontId="0" fillId="3" borderId="5" xfId="0" applyNumberFormat="1" applyFill="1" applyBorder="1" applyAlignment="1">
      <alignment horizontal="center" vertical="center"/>
    </xf>
    <xf numFmtId="166" fontId="0" fillId="3" borderId="5" xfId="0" applyNumberFormat="1" applyFill="1" applyBorder="1" applyAlignment="1">
      <alignment horizontal="center" vertical="center"/>
    </xf>
    <xf numFmtId="166" fontId="4" fillId="3" borderId="5" xfId="2" applyNumberFormat="1" applyFont="1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3" fontId="0" fillId="3" borderId="6" xfId="0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2" applyNumberFormat="1" applyFont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166" fontId="3" fillId="4" borderId="5" xfId="0" applyNumberFormat="1" applyFont="1" applyFill="1" applyBorder="1" applyAlignment="1">
      <alignment horizontal="center" vertical="center" wrapText="1"/>
    </xf>
    <xf numFmtId="166" fontId="3" fillId="4" borderId="5" xfId="2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166" fontId="3" fillId="4" borderId="5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166" fontId="3" fillId="4" borderId="5" xfId="2" applyNumberFormat="1" applyFont="1" applyFill="1" applyBorder="1" applyAlignment="1">
      <alignment horizontal="center" vertical="center"/>
    </xf>
    <xf numFmtId="3" fontId="0" fillId="4" borderId="5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166" fontId="3" fillId="5" borderId="5" xfId="0" applyNumberFormat="1" applyFont="1" applyFill="1" applyBorder="1" applyAlignment="1">
      <alignment horizontal="center" vertical="center" wrapText="1"/>
    </xf>
    <xf numFmtId="166" fontId="3" fillId="5" borderId="5" xfId="2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0" borderId="0" xfId="0" applyFont="1"/>
    <xf numFmtId="0" fontId="4" fillId="3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67" fontId="4" fillId="0" borderId="0" xfId="0" applyNumberFormat="1" applyFont="1" applyAlignment="1">
      <alignment horizontal="right"/>
    </xf>
    <xf numFmtId="0" fontId="3" fillId="0" borderId="0" xfId="0" applyFont="1"/>
    <xf numFmtId="167" fontId="3" fillId="0" borderId="0" xfId="0" applyNumberFormat="1" applyFont="1" applyAlignment="1">
      <alignment horizontal="center" vertical="center"/>
    </xf>
    <xf numFmtId="167" fontId="3" fillId="0" borderId="0" xfId="0" applyNumberFormat="1" applyFont="1"/>
    <xf numFmtId="167" fontId="3" fillId="0" borderId="0" xfId="0" applyNumberFormat="1" applyFont="1" applyAlignment="1">
      <alignment horizontal="right"/>
    </xf>
    <xf numFmtId="167" fontId="3" fillId="0" borderId="0" xfId="0" applyNumberFormat="1" applyFont="1" applyAlignment="1">
      <alignment horizontal="center"/>
    </xf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4" fillId="3" borderId="0" xfId="0" applyFont="1" applyFill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167" fontId="4" fillId="4" borderId="5" xfId="0" applyNumberFormat="1" applyFont="1" applyFill="1" applyBorder="1" applyAlignment="1">
      <alignment horizontal="center" vertical="center"/>
    </xf>
    <xf numFmtId="167" fontId="4" fillId="5" borderId="5" xfId="0" applyNumberFormat="1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3" fontId="4" fillId="5" borderId="5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0" fontId="4" fillId="0" borderId="0" xfId="0" applyFont="1" applyFill="1"/>
    <xf numFmtId="167" fontId="3" fillId="0" borderId="7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left" vertical="center"/>
    </xf>
    <xf numFmtId="0" fontId="5" fillId="0" borderId="0" xfId="0" applyFont="1"/>
    <xf numFmtId="14" fontId="5" fillId="0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168" fontId="6" fillId="0" borderId="5" xfId="0" applyNumberFormat="1" applyFont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1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/>
    <xf numFmtId="0" fontId="7" fillId="0" borderId="5" xfId="0" applyFont="1" applyBorder="1"/>
    <xf numFmtId="14" fontId="7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6" fillId="0" borderId="5" xfId="0" applyNumberFormat="1" applyFont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167" fontId="3" fillId="6" borderId="7" xfId="0" applyNumberFormat="1" applyFont="1" applyFill="1" applyBorder="1" applyAlignment="1">
      <alignment horizontal="center" vertical="center"/>
    </xf>
    <xf numFmtId="167" fontId="3" fillId="6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166" fontId="0" fillId="0" borderId="5" xfId="0" applyNumberForma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168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left"/>
    </xf>
    <xf numFmtId="0" fontId="7" fillId="0" borderId="5" xfId="0" applyFont="1" applyFill="1" applyBorder="1"/>
    <xf numFmtId="168" fontId="5" fillId="0" borderId="0" xfId="0" applyNumberFormat="1" applyFont="1"/>
    <xf numFmtId="3" fontId="5" fillId="0" borderId="0" xfId="0" applyNumberFormat="1" applyFont="1"/>
    <xf numFmtId="0" fontId="7" fillId="5" borderId="5" xfId="0" applyFont="1" applyFill="1" applyBorder="1" applyAlignment="1">
      <alignment horizontal="center"/>
    </xf>
    <xf numFmtId="0" fontId="0" fillId="0" borderId="5" xfId="0" applyBorder="1"/>
    <xf numFmtId="0" fontId="0" fillId="2" borderId="5" xfId="0" applyFill="1" applyBorder="1"/>
    <xf numFmtId="0" fontId="3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3" fontId="0" fillId="2" borderId="5" xfId="0" applyNumberFormat="1" applyFill="1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166" fontId="4" fillId="2" borderId="5" xfId="2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/>
    </xf>
    <xf numFmtId="3" fontId="0" fillId="2" borderId="6" xfId="0" applyNumberFormat="1" applyFill="1" applyBorder="1" applyAlignment="1">
      <alignment horizontal="center" vertical="center"/>
    </xf>
    <xf numFmtId="0" fontId="5" fillId="2" borderId="0" xfId="0" applyFont="1" applyFill="1"/>
    <xf numFmtId="0" fontId="4" fillId="2" borderId="0" xfId="0" applyFont="1" applyFill="1" applyAlignment="1">
      <alignment horizontal="right"/>
    </xf>
    <xf numFmtId="0" fontId="3" fillId="6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left" vertical="center" wrapText="1"/>
    </xf>
    <xf numFmtId="3" fontId="3" fillId="0" borderId="5" xfId="0" applyNumberFormat="1" applyFont="1" applyBorder="1" applyAlignment="1">
      <alignment horizontal="center" vertical="center"/>
    </xf>
    <xf numFmtId="3" fontId="3" fillId="6" borderId="5" xfId="0" applyNumberFormat="1" applyFont="1" applyFill="1" applyBorder="1" applyAlignment="1">
      <alignment horizontal="justify" vertical="center" wrapText="1"/>
    </xf>
    <xf numFmtId="0" fontId="3" fillId="8" borderId="5" xfId="0" applyFont="1" applyFill="1" applyBorder="1" applyAlignment="1">
      <alignment horizontal="justify" vertical="center" wrapText="1"/>
    </xf>
    <xf numFmtId="3" fontId="3" fillId="6" borderId="4" xfId="0" applyNumberFormat="1" applyFont="1" applyFill="1" applyBorder="1" applyAlignment="1">
      <alignment horizontal="left"/>
    </xf>
    <xf numFmtId="169" fontId="3" fillId="8" borderId="5" xfId="2" applyNumberFormat="1" applyFont="1" applyFill="1" applyBorder="1" applyAlignment="1">
      <alignment horizontal="center" vertical="center" wrapText="1"/>
    </xf>
    <xf numFmtId="169" fontId="3" fillId="8" borderId="5" xfId="2" applyNumberFormat="1" applyFont="1" applyFill="1" applyBorder="1" applyAlignment="1">
      <alignment horizontal="left" vertical="center" wrapText="1"/>
    </xf>
    <xf numFmtId="3" fontId="0" fillId="0" borderId="0" xfId="0" applyNumberFormat="1"/>
    <xf numFmtId="4" fontId="3" fillId="8" borderId="5" xfId="0" applyNumberFormat="1" applyFont="1" applyFill="1" applyBorder="1" applyAlignment="1">
      <alignment horizontal="center" vertical="center" wrapText="1"/>
    </xf>
    <xf numFmtId="3" fontId="3" fillId="6" borderId="5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15" fontId="3" fillId="4" borderId="2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167" fontId="4" fillId="4" borderId="6" xfId="0" applyNumberFormat="1" applyFont="1" applyFill="1" applyBorder="1" applyAlignment="1">
      <alignment horizontal="center" vertical="center"/>
    </xf>
    <xf numFmtId="167" fontId="4" fillId="4" borderId="7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7" fontId="4" fillId="5" borderId="6" xfId="0" applyNumberFormat="1" applyFont="1" applyFill="1" applyBorder="1" applyAlignment="1">
      <alignment horizontal="center" vertical="center"/>
    </xf>
    <xf numFmtId="167" fontId="4" fillId="5" borderId="7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7" fontId="3" fillId="6" borderId="5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right"/>
    </xf>
    <xf numFmtId="0" fontId="3" fillId="6" borderId="3" xfId="0" applyFont="1" applyFill="1" applyBorder="1" applyAlignment="1">
      <alignment horizontal="right"/>
    </xf>
    <xf numFmtId="0" fontId="3" fillId="6" borderId="4" xfId="0" applyFont="1" applyFill="1" applyBorder="1" applyAlignment="1">
      <alignment horizontal="right"/>
    </xf>
    <xf numFmtId="0" fontId="8" fillId="0" borderId="0" xfId="0" applyFont="1" applyAlignment="1">
      <alignment horizontal="center"/>
    </xf>
  </cellXfs>
  <cellStyles count="3">
    <cellStyle name="Millares 2" xfId="1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70"/>
  <sheetViews>
    <sheetView topLeftCell="A129" workbookViewId="0">
      <selection activeCell="H27" sqref="H27"/>
    </sheetView>
  </sheetViews>
  <sheetFormatPr baseColWidth="10" defaultRowHeight="12" x14ac:dyDescent="0.2"/>
  <cols>
    <col min="1" max="5" width="11.42578125" style="60"/>
    <col min="6" max="6" width="14.7109375" style="60" bestFit="1" customWidth="1"/>
    <col min="7" max="19" width="11.42578125" style="60"/>
    <col min="20" max="20" width="12" style="60" bestFit="1" customWidth="1"/>
    <col min="21" max="16384" width="11.42578125" style="60"/>
  </cols>
  <sheetData>
    <row r="2" spans="1:16" ht="15" x14ac:dyDescent="0.25">
      <c r="A2" s="130" t="s">
        <v>9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</row>
    <row r="4" spans="1:16" ht="48" x14ac:dyDescent="0.2">
      <c r="A4" s="64" t="s">
        <v>7</v>
      </c>
      <c r="B4" s="65" t="s">
        <v>1</v>
      </c>
      <c r="C4" s="64" t="s">
        <v>2</v>
      </c>
      <c r="D4" s="65" t="s">
        <v>3</v>
      </c>
      <c r="E4" s="64" t="s">
        <v>2</v>
      </c>
      <c r="F4" s="65" t="s">
        <v>4</v>
      </c>
      <c r="G4" s="65" t="s">
        <v>5</v>
      </c>
      <c r="J4" s="69" t="s">
        <v>8</v>
      </c>
      <c r="K4" s="70" t="s">
        <v>1</v>
      </c>
      <c r="L4" s="69" t="s">
        <v>2</v>
      </c>
      <c r="M4" s="70" t="s">
        <v>3</v>
      </c>
      <c r="N4" s="69" t="s">
        <v>2</v>
      </c>
      <c r="O4" s="70" t="s">
        <v>4</v>
      </c>
      <c r="P4" s="70" t="s">
        <v>5</v>
      </c>
    </row>
    <row r="5" spans="1:16" ht="13.5" customHeight="1" x14ac:dyDescent="0.2">
      <c r="A5" s="80">
        <v>43467</v>
      </c>
      <c r="B5" s="81">
        <v>0</v>
      </c>
      <c r="C5" s="81">
        <v>0</v>
      </c>
      <c r="D5" s="81">
        <f>4+3+52+167+5+2</f>
        <v>233</v>
      </c>
      <c r="E5" s="81">
        <v>6</v>
      </c>
      <c r="F5" s="81">
        <f t="shared" ref="F5:F25" si="0">B5+D5</f>
        <v>233</v>
      </c>
      <c r="G5" s="81">
        <f t="shared" ref="G5:G25" si="1">C5+E5</f>
        <v>6</v>
      </c>
      <c r="J5" s="80">
        <v>43497</v>
      </c>
      <c r="K5" s="81">
        <f>160+200+7+8+8</f>
        <v>383</v>
      </c>
      <c r="L5" s="81">
        <v>5</v>
      </c>
      <c r="M5" s="81">
        <f>1+3+4+5+6+23+26+37+44+44+53+60+63+87+95+96</f>
        <v>647</v>
      </c>
      <c r="N5" s="81">
        <v>16</v>
      </c>
      <c r="O5" s="81">
        <f t="shared" ref="O5:O19" si="2">K5+M5</f>
        <v>1030</v>
      </c>
      <c r="P5" s="81">
        <f t="shared" ref="P5:P24" si="3">L5+N5</f>
        <v>21</v>
      </c>
    </row>
    <row r="6" spans="1:16" ht="13.5" customHeight="1" x14ac:dyDescent="0.2">
      <c r="A6" s="80">
        <v>43468</v>
      </c>
      <c r="B6" s="81">
        <v>0</v>
      </c>
      <c r="C6" s="81">
        <v>0</v>
      </c>
      <c r="D6" s="81">
        <f>55+12+5+8+106</f>
        <v>186</v>
      </c>
      <c r="E6" s="81">
        <v>5</v>
      </c>
      <c r="F6" s="81">
        <f t="shared" si="0"/>
        <v>186</v>
      </c>
      <c r="G6" s="81">
        <f t="shared" si="1"/>
        <v>5</v>
      </c>
      <c r="J6" s="80">
        <v>43500</v>
      </c>
      <c r="K6" s="81">
        <f>30+42+120+400+547+3+4+7</f>
        <v>1153</v>
      </c>
      <c r="L6" s="81">
        <v>8</v>
      </c>
      <c r="M6" s="81">
        <f>577+138+122+101+53+31+30+14+13+10+9+6+5+4+2+1</f>
        <v>1116</v>
      </c>
      <c r="N6" s="81">
        <v>16</v>
      </c>
      <c r="O6" s="81">
        <f t="shared" si="2"/>
        <v>2269</v>
      </c>
      <c r="P6" s="81">
        <f t="shared" si="3"/>
        <v>24</v>
      </c>
    </row>
    <row r="7" spans="1:16" ht="13.5" customHeight="1" x14ac:dyDescent="0.2">
      <c r="A7" s="80">
        <v>43469</v>
      </c>
      <c r="B7" s="81">
        <v>0</v>
      </c>
      <c r="C7" s="81">
        <v>0</v>
      </c>
      <c r="D7" s="81">
        <v>10</v>
      </c>
      <c r="E7" s="81">
        <v>1</v>
      </c>
      <c r="F7" s="81">
        <f t="shared" si="0"/>
        <v>10</v>
      </c>
      <c r="G7" s="81">
        <f t="shared" si="1"/>
        <v>1</v>
      </c>
      <c r="J7" s="80">
        <v>43501</v>
      </c>
      <c r="K7" s="81">
        <f>104+166+3+3+3+7+9+10+11+12+19+19+19</f>
        <v>385</v>
      </c>
      <c r="L7" s="81">
        <v>13</v>
      </c>
      <c r="M7" s="81">
        <f>2+2+3+3+6+12+13+13+15+46+49+53+100+162+173</f>
        <v>652</v>
      </c>
      <c r="N7" s="81">
        <v>15</v>
      </c>
      <c r="O7" s="81">
        <f t="shared" si="2"/>
        <v>1037</v>
      </c>
      <c r="P7" s="81">
        <f t="shared" si="3"/>
        <v>28</v>
      </c>
    </row>
    <row r="8" spans="1:16" ht="13.5" customHeight="1" x14ac:dyDescent="0.2">
      <c r="A8" s="80">
        <v>43469</v>
      </c>
      <c r="B8" s="81">
        <v>0</v>
      </c>
      <c r="C8" s="81">
        <v>0</v>
      </c>
      <c r="D8" s="81">
        <f>119+151+212+32+9+48+25+14+37+16</f>
        <v>663</v>
      </c>
      <c r="E8" s="81">
        <v>10</v>
      </c>
      <c r="F8" s="81">
        <f t="shared" si="0"/>
        <v>663</v>
      </c>
      <c r="G8" s="81">
        <f t="shared" si="1"/>
        <v>10</v>
      </c>
      <c r="J8" s="80">
        <v>43502</v>
      </c>
      <c r="K8" s="81">
        <f>227+3+4+8+10+11+15+15</f>
        <v>293</v>
      </c>
      <c r="L8" s="81">
        <v>8</v>
      </c>
      <c r="M8" s="81">
        <f>1+1+5+5+8+8+22+29+29+30+38+44+46+50+65+91+150+154+690</f>
        <v>1466</v>
      </c>
      <c r="N8" s="81">
        <v>19</v>
      </c>
      <c r="O8" s="81">
        <f t="shared" si="2"/>
        <v>1759</v>
      </c>
      <c r="P8" s="81">
        <f t="shared" si="3"/>
        <v>27</v>
      </c>
    </row>
    <row r="9" spans="1:16" ht="13.5" customHeight="1" x14ac:dyDescent="0.2">
      <c r="A9" s="80">
        <v>43474</v>
      </c>
      <c r="B9" s="82">
        <v>0</v>
      </c>
      <c r="C9" s="81">
        <v>0</v>
      </c>
      <c r="D9" s="82">
        <f>20+120+17+3+20+39+28</f>
        <v>247</v>
      </c>
      <c r="E9" s="81">
        <v>7</v>
      </c>
      <c r="F9" s="81">
        <f t="shared" si="0"/>
        <v>247</v>
      </c>
      <c r="G9" s="81">
        <f t="shared" si="1"/>
        <v>7</v>
      </c>
      <c r="J9" s="80">
        <v>43503</v>
      </c>
      <c r="K9" s="82">
        <f>30+33+4+7+8+16+19+19</f>
        <v>136</v>
      </c>
      <c r="L9" s="81">
        <v>8</v>
      </c>
      <c r="M9" s="82">
        <f>3+3+4+6+7+9+12+20+21+45+137+248+255+324+515</f>
        <v>1609</v>
      </c>
      <c r="N9" s="81">
        <v>15</v>
      </c>
      <c r="O9" s="81">
        <f t="shared" si="2"/>
        <v>1745</v>
      </c>
      <c r="P9" s="81">
        <f t="shared" si="3"/>
        <v>23</v>
      </c>
    </row>
    <row r="10" spans="1:16" ht="13.5" customHeight="1" x14ac:dyDescent="0.2">
      <c r="A10" s="80">
        <v>43475</v>
      </c>
      <c r="B10" s="82">
        <v>0</v>
      </c>
      <c r="C10" s="81">
        <v>0</v>
      </c>
      <c r="D10" s="82">
        <f>53+19+44+82+1</f>
        <v>199</v>
      </c>
      <c r="E10" s="81">
        <v>5</v>
      </c>
      <c r="F10" s="81">
        <f t="shared" si="0"/>
        <v>199</v>
      </c>
      <c r="G10" s="81">
        <f t="shared" si="1"/>
        <v>5</v>
      </c>
      <c r="J10" s="80">
        <v>43504</v>
      </c>
      <c r="K10" s="82">
        <f>735+25+19+19+19+15+10+10+7+6</f>
        <v>865</v>
      </c>
      <c r="L10" s="81">
        <v>10</v>
      </c>
      <c r="M10" s="82">
        <f>1+2+4+5+5+15+40+56+67+80+81+86+110+172</f>
        <v>724</v>
      </c>
      <c r="N10" s="81">
        <v>14</v>
      </c>
      <c r="O10" s="81">
        <f t="shared" si="2"/>
        <v>1589</v>
      </c>
      <c r="P10" s="81">
        <f t="shared" si="3"/>
        <v>24</v>
      </c>
    </row>
    <row r="11" spans="1:16" ht="13.5" customHeight="1" x14ac:dyDescent="0.2">
      <c r="A11" s="80">
        <v>43476</v>
      </c>
      <c r="B11" s="82">
        <f>2+5+19+10+14+1+2</f>
        <v>53</v>
      </c>
      <c r="C11" s="81">
        <v>7</v>
      </c>
      <c r="D11" s="82">
        <f>1+2+2+4+7+11+14+16+19+21+52+500</f>
        <v>649</v>
      </c>
      <c r="E11" s="81">
        <v>12</v>
      </c>
      <c r="F11" s="81">
        <f t="shared" si="0"/>
        <v>702</v>
      </c>
      <c r="G11" s="81">
        <f t="shared" si="1"/>
        <v>19</v>
      </c>
      <c r="J11" s="80">
        <v>43507</v>
      </c>
      <c r="K11" s="82">
        <f>30+190</f>
        <v>220</v>
      </c>
      <c r="L11" s="81">
        <v>2</v>
      </c>
      <c r="M11" s="82">
        <f>2+3+4+7+9+10+19+19+26+45+46+58+68+70+81+95+164+229</f>
        <v>955</v>
      </c>
      <c r="N11" s="81">
        <v>18</v>
      </c>
      <c r="O11" s="81">
        <f t="shared" si="2"/>
        <v>1175</v>
      </c>
      <c r="P11" s="81">
        <f t="shared" si="3"/>
        <v>20</v>
      </c>
    </row>
    <row r="12" spans="1:16" ht="13.5" customHeight="1" x14ac:dyDescent="0.2">
      <c r="A12" s="80">
        <v>43479</v>
      </c>
      <c r="B12" s="82">
        <f>35+35+14+19+19+19+19+69</f>
        <v>229</v>
      </c>
      <c r="C12" s="81">
        <v>8</v>
      </c>
      <c r="D12" s="82">
        <f>2+2+3+3+3+6+10+13+14+14+20+20+22+44+50+51+52+126+142+200</f>
        <v>797</v>
      </c>
      <c r="E12" s="81">
        <v>20</v>
      </c>
      <c r="F12" s="81">
        <f t="shared" si="0"/>
        <v>1026</v>
      </c>
      <c r="G12" s="81">
        <f t="shared" si="1"/>
        <v>28</v>
      </c>
      <c r="J12" s="80">
        <v>43508</v>
      </c>
      <c r="K12" s="82">
        <f>66+8+4</f>
        <v>78</v>
      </c>
      <c r="L12" s="81">
        <v>3</v>
      </c>
      <c r="M12" s="82">
        <f>470+312+299+144+94+92+73+37+21+13+8+7+5+5+2+2</f>
        <v>1584</v>
      </c>
      <c r="N12" s="81">
        <v>16</v>
      </c>
      <c r="O12" s="81">
        <f t="shared" si="2"/>
        <v>1662</v>
      </c>
      <c r="P12" s="81">
        <f t="shared" si="3"/>
        <v>19</v>
      </c>
    </row>
    <row r="13" spans="1:16" ht="13.5" customHeight="1" x14ac:dyDescent="0.2">
      <c r="A13" s="80">
        <v>43480</v>
      </c>
      <c r="B13" s="82">
        <f>1+2+2+6+7+7+10+10+14+19+19</f>
        <v>97</v>
      </c>
      <c r="C13" s="81">
        <v>11</v>
      </c>
      <c r="D13" s="82">
        <f>1+5+6+6+9+14+14+24+42+60+63+87+96+122+148+367</f>
        <v>1064</v>
      </c>
      <c r="E13" s="81">
        <v>16</v>
      </c>
      <c r="F13" s="81">
        <f t="shared" si="0"/>
        <v>1161</v>
      </c>
      <c r="G13" s="81">
        <f t="shared" si="1"/>
        <v>27</v>
      </c>
      <c r="J13" s="80">
        <v>43509</v>
      </c>
      <c r="K13" s="82">
        <f>315+194+1+2+6+6+7+8+12+16+19+19</f>
        <v>605</v>
      </c>
      <c r="L13" s="81">
        <v>12</v>
      </c>
      <c r="M13" s="82">
        <f>2+4+5+6+8+9+10+13+17+18+22+35+35+90+90+104+107+109</f>
        <v>684</v>
      </c>
      <c r="N13" s="81">
        <v>18</v>
      </c>
      <c r="O13" s="81">
        <f t="shared" si="2"/>
        <v>1289</v>
      </c>
      <c r="P13" s="81">
        <f t="shared" si="3"/>
        <v>30</v>
      </c>
    </row>
    <row r="14" spans="1:16" ht="13.5" customHeight="1" x14ac:dyDescent="0.2">
      <c r="A14" s="80">
        <v>43481</v>
      </c>
      <c r="B14" s="82">
        <f>4+5+5+6+9+10+15</f>
        <v>54</v>
      </c>
      <c r="C14" s="81">
        <v>7</v>
      </c>
      <c r="D14" s="82">
        <f>2+5+6+8+12+17+18+20+20+42+44+54+54+54+90+109+205+466+502+220</f>
        <v>1948</v>
      </c>
      <c r="E14" s="81">
        <v>20</v>
      </c>
      <c r="F14" s="81">
        <f t="shared" si="0"/>
        <v>2002</v>
      </c>
      <c r="G14" s="81">
        <f t="shared" si="1"/>
        <v>27</v>
      </c>
      <c r="J14" s="80">
        <v>43510</v>
      </c>
      <c r="K14" s="82">
        <f>2+3+3+5+7+7+9+10+12+15+21</f>
        <v>94</v>
      </c>
      <c r="L14" s="81">
        <v>11</v>
      </c>
      <c r="M14" s="82">
        <f>1+2+4+7+15+18+21+35+37+53+64+72+72+81+148</f>
        <v>630</v>
      </c>
      <c r="N14" s="81">
        <v>15</v>
      </c>
      <c r="O14" s="81">
        <f t="shared" si="2"/>
        <v>724</v>
      </c>
      <c r="P14" s="81">
        <f t="shared" si="3"/>
        <v>26</v>
      </c>
    </row>
    <row r="15" spans="1:16" ht="13.5" customHeight="1" x14ac:dyDescent="0.2">
      <c r="A15" s="80">
        <v>43482</v>
      </c>
      <c r="B15" s="82">
        <f>217+30+30+8+13+6</f>
        <v>304</v>
      </c>
      <c r="C15" s="81">
        <v>6</v>
      </c>
      <c r="D15" s="82">
        <f>2+2+4+9+15+21+24+28+34+135+253+258+377</f>
        <v>1162</v>
      </c>
      <c r="E15" s="81">
        <v>13</v>
      </c>
      <c r="F15" s="81">
        <f t="shared" si="0"/>
        <v>1466</v>
      </c>
      <c r="G15" s="81">
        <f t="shared" si="1"/>
        <v>19</v>
      </c>
      <c r="J15" s="80">
        <v>43146</v>
      </c>
      <c r="K15" s="82">
        <f>100+500+2+8+9+10+10+10+15+19</f>
        <v>683</v>
      </c>
      <c r="L15" s="81">
        <v>10</v>
      </c>
      <c r="M15" s="82">
        <f>1+3+9+18+23+23+29+41+45+46+56+61+79+98+118+122+128+206+527</f>
        <v>1633</v>
      </c>
      <c r="N15" s="81">
        <v>19</v>
      </c>
      <c r="O15" s="81">
        <f t="shared" si="2"/>
        <v>2316</v>
      </c>
      <c r="P15" s="81">
        <f t="shared" si="3"/>
        <v>29</v>
      </c>
    </row>
    <row r="16" spans="1:16" ht="13.5" customHeight="1" x14ac:dyDescent="0.2">
      <c r="A16" s="80">
        <v>43483</v>
      </c>
      <c r="B16" s="82">
        <f>60+75+160+8+3+5+12+18+16+2</f>
        <v>359</v>
      </c>
      <c r="C16" s="81">
        <v>10</v>
      </c>
      <c r="D16" s="82">
        <f>146+22+19+16+82+7+3+16+93+36+190+95+16+462+2+23+11</f>
        <v>1239</v>
      </c>
      <c r="E16" s="81">
        <v>17</v>
      </c>
      <c r="F16" s="81">
        <f t="shared" si="0"/>
        <v>1598</v>
      </c>
      <c r="G16" s="81">
        <f t="shared" si="1"/>
        <v>27</v>
      </c>
      <c r="J16" s="80">
        <v>43514</v>
      </c>
      <c r="K16" s="82">
        <f>533+200+108+1+1+2+2+3+3+4+5+5+9+10+12</f>
        <v>898</v>
      </c>
      <c r="L16" s="81">
        <v>14</v>
      </c>
      <c r="M16" s="82">
        <f>2+3+4+6+8+9+9+11+12+13+21+22+28+28+36+37+38+39+80+80+84+87+161</f>
        <v>818</v>
      </c>
      <c r="N16" s="81">
        <v>24</v>
      </c>
      <c r="O16" s="81">
        <f t="shared" si="2"/>
        <v>1716</v>
      </c>
      <c r="P16" s="81">
        <f t="shared" si="3"/>
        <v>38</v>
      </c>
    </row>
    <row r="17" spans="1:19" ht="13.5" customHeight="1" x14ac:dyDescent="0.2">
      <c r="A17" s="80">
        <v>43486</v>
      </c>
      <c r="B17" s="82">
        <f>140+30+10+6+7+8+2+19+2</f>
        <v>224</v>
      </c>
      <c r="C17" s="81">
        <v>9</v>
      </c>
      <c r="D17" s="82">
        <f>316+104+102+47+42+34+29+27+21+17+16+10+9+7+2+1</f>
        <v>784</v>
      </c>
      <c r="E17" s="81">
        <v>16</v>
      </c>
      <c r="F17" s="81">
        <f t="shared" si="0"/>
        <v>1008</v>
      </c>
      <c r="G17" s="81">
        <f t="shared" si="1"/>
        <v>25</v>
      </c>
      <c r="J17" s="80">
        <v>43515</v>
      </c>
      <c r="K17" s="82">
        <f>26+33+45+226+2+4+14+15+19</f>
        <v>384</v>
      </c>
      <c r="L17" s="81">
        <v>9</v>
      </c>
      <c r="M17" s="82">
        <f>1+3+5+13+17+29+34+44+74+84+169</f>
        <v>473</v>
      </c>
      <c r="N17" s="81">
        <v>11</v>
      </c>
      <c r="O17" s="81">
        <f t="shared" si="2"/>
        <v>857</v>
      </c>
      <c r="P17" s="81">
        <f t="shared" si="3"/>
        <v>20</v>
      </c>
    </row>
    <row r="18" spans="1:19" ht="13.5" customHeight="1" x14ac:dyDescent="0.2">
      <c r="A18" s="80">
        <v>43487</v>
      </c>
      <c r="B18" s="82">
        <f>600+180+260+84+20+12+1+19+10+18+19</f>
        <v>1223</v>
      </c>
      <c r="C18" s="81">
        <v>11</v>
      </c>
      <c r="D18" s="82">
        <f>198+162+140+128+60+39+37+24+22+18+10+8+4+3+2+2+1</f>
        <v>858</v>
      </c>
      <c r="E18" s="81">
        <v>17</v>
      </c>
      <c r="F18" s="81">
        <f t="shared" si="0"/>
        <v>2081</v>
      </c>
      <c r="G18" s="81">
        <f t="shared" si="1"/>
        <v>28</v>
      </c>
      <c r="J18" s="80">
        <v>43516</v>
      </c>
      <c r="K18" s="82">
        <f>2+3+7+9+10+11+11+16+19+25</f>
        <v>113</v>
      </c>
      <c r="L18" s="81">
        <v>10</v>
      </c>
      <c r="M18" s="82">
        <f>1+3+10+18+18+23+25+29+55+66+66+82+202+284+665+1001</f>
        <v>2548</v>
      </c>
      <c r="N18" s="81">
        <v>16</v>
      </c>
      <c r="O18" s="81">
        <f t="shared" si="2"/>
        <v>2661</v>
      </c>
      <c r="P18" s="81">
        <f t="shared" si="3"/>
        <v>26</v>
      </c>
    </row>
    <row r="19" spans="1:19" ht="13.5" customHeight="1" x14ac:dyDescent="0.2">
      <c r="A19" s="80">
        <v>43488</v>
      </c>
      <c r="B19" s="82">
        <f>50+36+252+110+15+4+3+12+6+1</f>
        <v>489</v>
      </c>
      <c r="C19" s="81">
        <v>10</v>
      </c>
      <c r="D19" s="82">
        <f>3+12+12+15+16+25+26+30+42+42+45+79+97+107+124+146</f>
        <v>821</v>
      </c>
      <c r="E19" s="81">
        <v>16</v>
      </c>
      <c r="F19" s="81">
        <f t="shared" si="0"/>
        <v>1310</v>
      </c>
      <c r="G19" s="81">
        <f t="shared" si="1"/>
        <v>26</v>
      </c>
      <c r="J19" s="80">
        <v>43517</v>
      </c>
      <c r="K19" s="82">
        <f>50+143+160+525+2+4+5+14+19</f>
        <v>922</v>
      </c>
      <c r="L19" s="81">
        <v>9</v>
      </c>
      <c r="M19" s="82">
        <f>2+7+12+28+36+42+60+76+91+98+139+179+185+189+198</f>
        <v>1342</v>
      </c>
      <c r="N19" s="81">
        <v>15</v>
      </c>
      <c r="O19" s="81">
        <f t="shared" si="2"/>
        <v>2264</v>
      </c>
      <c r="P19" s="81">
        <f t="shared" si="3"/>
        <v>24</v>
      </c>
    </row>
    <row r="20" spans="1:19" ht="13.5" customHeight="1" x14ac:dyDescent="0.2">
      <c r="A20" s="80">
        <v>43489</v>
      </c>
      <c r="B20" s="82">
        <f>234+80+80+18+10+2</f>
        <v>424</v>
      </c>
      <c r="C20" s="81">
        <v>6</v>
      </c>
      <c r="D20" s="82">
        <f>1+1+2+3+3+3+12+16+17+22+26+37+57+64+97+108</f>
        <v>469</v>
      </c>
      <c r="E20" s="81">
        <v>16</v>
      </c>
      <c r="F20" s="81">
        <f t="shared" si="0"/>
        <v>893</v>
      </c>
      <c r="G20" s="81">
        <f t="shared" si="1"/>
        <v>22</v>
      </c>
      <c r="J20" s="80">
        <v>43518</v>
      </c>
      <c r="K20" s="82">
        <f>136+186+200+2+6</f>
        <v>530</v>
      </c>
      <c r="L20" s="81">
        <v>5</v>
      </c>
      <c r="M20" s="82">
        <f>3+8+15+32+34+46+49+58+58+70+85+89+96+179+202+244</f>
        <v>1268</v>
      </c>
      <c r="N20" s="81">
        <v>16</v>
      </c>
      <c r="O20" s="81">
        <f>K20+M20</f>
        <v>1798</v>
      </c>
      <c r="P20" s="81">
        <f t="shared" si="3"/>
        <v>21</v>
      </c>
    </row>
    <row r="21" spans="1:19" ht="13.5" customHeight="1" x14ac:dyDescent="0.2">
      <c r="A21" s="80">
        <v>43490</v>
      </c>
      <c r="B21" s="82">
        <f>297+19+12+12+19+19+19+15+15+18+18+18+18+19+19+24+18+16+10+10+10+10+10+8+7+6+4+3+1+15</f>
        <v>689</v>
      </c>
      <c r="C21" s="81">
        <v>30</v>
      </c>
      <c r="D21" s="82">
        <f>293+188+158+132+61+43+29+22+9+7+5+4+3+3+2</f>
        <v>959</v>
      </c>
      <c r="E21" s="81">
        <v>15</v>
      </c>
      <c r="F21" s="81">
        <f t="shared" si="0"/>
        <v>1648</v>
      </c>
      <c r="G21" s="81">
        <f t="shared" si="1"/>
        <v>45</v>
      </c>
      <c r="J21" s="80">
        <v>43521</v>
      </c>
      <c r="K21" s="82">
        <f>45+45+80+710+2+2+2+7+9+14</f>
        <v>916</v>
      </c>
      <c r="L21" s="81">
        <v>10</v>
      </c>
      <c r="M21" s="82">
        <f>4+6+6+6+7+11+12+18+23+24+27+28+45+67+81+85+143+149+252</f>
        <v>994</v>
      </c>
      <c r="N21" s="81">
        <v>19</v>
      </c>
      <c r="O21" s="81">
        <f t="shared" ref="O21:O24" si="4">K21+M21</f>
        <v>1910</v>
      </c>
      <c r="P21" s="81">
        <f t="shared" si="3"/>
        <v>29</v>
      </c>
    </row>
    <row r="22" spans="1:19" ht="13.5" customHeight="1" x14ac:dyDescent="0.2">
      <c r="A22" s="80">
        <v>43125</v>
      </c>
      <c r="B22" s="82">
        <f>220+166+1+2+2+4+4+6+7+8+9+10+14+14+15+18</f>
        <v>500</v>
      </c>
      <c r="C22" s="81">
        <v>16</v>
      </c>
      <c r="D22" s="82">
        <f>427+171+103+70+49+3+2+2+2+2</f>
        <v>831</v>
      </c>
      <c r="E22" s="81">
        <v>10</v>
      </c>
      <c r="F22" s="81">
        <f t="shared" si="0"/>
        <v>1331</v>
      </c>
      <c r="G22" s="81">
        <f t="shared" si="1"/>
        <v>26</v>
      </c>
      <c r="J22" s="80">
        <v>43522</v>
      </c>
      <c r="K22" s="82">
        <f>133+364+1+1+1+1+2+2+2+2+4+8</f>
        <v>521</v>
      </c>
      <c r="L22" s="81">
        <v>12</v>
      </c>
      <c r="M22" s="82">
        <f>6+14+16+19+23+27+33+33+65+78+111+205+258+363+655</f>
        <v>1906</v>
      </c>
      <c r="N22" s="81">
        <v>25</v>
      </c>
      <c r="O22" s="81">
        <f t="shared" si="4"/>
        <v>2427</v>
      </c>
      <c r="P22" s="81">
        <f t="shared" si="3"/>
        <v>37</v>
      </c>
    </row>
    <row r="23" spans="1:19" ht="13.5" customHeight="1" x14ac:dyDescent="0.2">
      <c r="A23" s="80">
        <v>43494</v>
      </c>
      <c r="B23" s="82">
        <f>761+140+80+29+1+1+3+3+5+6</f>
        <v>1029</v>
      </c>
      <c r="C23" s="81">
        <v>10</v>
      </c>
      <c r="D23" s="82">
        <f>129+54+35+20+17+17+9+3+2+1</f>
        <v>287</v>
      </c>
      <c r="E23" s="81">
        <v>10</v>
      </c>
      <c r="F23" s="81">
        <f t="shared" si="0"/>
        <v>1316</v>
      </c>
      <c r="G23" s="81">
        <f t="shared" si="1"/>
        <v>20</v>
      </c>
      <c r="J23" s="80">
        <v>43523</v>
      </c>
      <c r="K23" s="82">
        <f>60+113+113+113+2+3+3+3+5+7+8+10+19+25</f>
        <v>484</v>
      </c>
      <c r="L23" s="81">
        <v>24</v>
      </c>
      <c r="M23" s="82">
        <f>3+6+10+15+17+20+27+28+31+42+49+51+85+132+142+188</f>
        <v>846</v>
      </c>
      <c r="N23" s="81">
        <v>6</v>
      </c>
      <c r="O23" s="81">
        <f t="shared" si="4"/>
        <v>1330</v>
      </c>
      <c r="P23" s="81">
        <f t="shared" si="3"/>
        <v>30</v>
      </c>
    </row>
    <row r="24" spans="1:19" ht="13.5" customHeight="1" x14ac:dyDescent="0.2">
      <c r="A24" s="80">
        <v>43495</v>
      </c>
      <c r="B24" s="82">
        <f>108+12+10+13+3+3+10+6+3+8+7+2+4+13+11+5</f>
        <v>218</v>
      </c>
      <c r="C24" s="81">
        <v>16</v>
      </c>
      <c r="D24" s="82">
        <f>2+6+254+11+50+129+130+79+46+3+89+60+810</f>
        <v>1669</v>
      </c>
      <c r="E24" s="81">
        <v>13</v>
      </c>
      <c r="F24" s="81">
        <f t="shared" si="0"/>
        <v>1887</v>
      </c>
      <c r="G24" s="81">
        <f t="shared" si="1"/>
        <v>29</v>
      </c>
      <c r="J24" s="80">
        <v>43524</v>
      </c>
      <c r="K24" s="82">
        <f>104+196+103+19+2+6+12+6+19+8+10</f>
        <v>485</v>
      </c>
      <c r="L24" s="81">
        <v>10</v>
      </c>
      <c r="M24" s="82">
        <f>116+3+2+274+13+48+24+398+6+25+153+1+48+238+144+230+32</f>
        <v>1755</v>
      </c>
      <c r="N24" s="81">
        <v>18</v>
      </c>
      <c r="O24" s="81">
        <f t="shared" si="4"/>
        <v>2240</v>
      </c>
      <c r="P24" s="81">
        <f t="shared" si="3"/>
        <v>28</v>
      </c>
    </row>
    <row r="25" spans="1:19" ht="13.5" customHeight="1" x14ac:dyDescent="0.2">
      <c r="A25" s="80">
        <v>43496</v>
      </c>
      <c r="B25" s="82">
        <f>86+220+354+1+2+3+3+4+6+7+9+11+15+15+18+18+19+19+19+19</f>
        <v>848</v>
      </c>
      <c r="C25" s="81">
        <v>20</v>
      </c>
      <c r="D25" s="82">
        <f>2+4+6+9+14+19+21+22+28+31+35+38+41+62+94</f>
        <v>426</v>
      </c>
      <c r="E25" s="81">
        <v>15</v>
      </c>
      <c r="F25" s="81">
        <f t="shared" si="0"/>
        <v>1274</v>
      </c>
      <c r="G25" s="81">
        <f t="shared" si="1"/>
        <v>35</v>
      </c>
      <c r="J25" s="88"/>
      <c r="K25" s="89"/>
      <c r="L25" s="84"/>
      <c r="M25" s="89"/>
      <c r="N25" s="84"/>
      <c r="O25" s="84"/>
      <c r="P25" s="84"/>
    </row>
    <row r="26" spans="1:19" ht="13.5" customHeight="1" x14ac:dyDescent="0.2">
      <c r="A26" s="83"/>
      <c r="B26" s="83"/>
      <c r="C26" s="83"/>
      <c r="D26" s="83"/>
      <c r="E26" s="83"/>
      <c r="F26" s="84"/>
      <c r="G26" s="83"/>
      <c r="J26" s="83"/>
      <c r="K26" s="83"/>
      <c r="L26" s="83"/>
      <c r="M26" s="83"/>
      <c r="N26" s="83"/>
      <c r="O26" s="84"/>
      <c r="P26" s="83"/>
    </row>
    <row r="27" spans="1:19" ht="13.5" customHeight="1" x14ac:dyDescent="0.2">
      <c r="A27" s="64" t="s">
        <v>6</v>
      </c>
      <c r="B27" s="85">
        <f t="shared" ref="B27:G27" si="5">SUM(B5:B26)</f>
        <v>6740</v>
      </c>
      <c r="C27" s="85">
        <f t="shared" si="5"/>
        <v>177</v>
      </c>
      <c r="D27" s="85">
        <f t="shared" si="5"/>
        <v>15501</v>
      </c>
      <c r="E27" s="85">
        <f t="shared" si="5"/>
        <v>260</v>
      </c>
      <c r="F27" s="85">
        <f t="shared" si="5"/>
        <v>22241</v>
      </c>
      <c r="G27" s="85">
        <f t="shared" si="5"/>
        <v>437</v>
      </c>
      <c r="J27" s="69" t="s">
        <v>6</v>
      </c>
      <c r="K27" s="85">
        <f t="shared" ref="K27:P27" si="6">SUM(K5:K26)</f>
        <v>10148</v>
      </c>
      <c r="L27" s="85">
        <f t="shared" si="6"/>
        <v>193</v>
      </c>
      <c r="M27" s="85">
        <f t="shared" si="6"/>
        <v>23650</v>
      </c>
      <c r="N27" s="85">
        <f t="shared" si="6"/>
        <v>331</v>
      </c>
      <c r="O27" s="85">
        <f t="shared" si="6"/>
        <v>33798</v>
      </c>
      <c r="P27" s="85">
        <f t="shared" si="6"/>
        <v>524</v>
      </c>
    </row>
    <row r="28" spans="1:19" ht="13.5" customHeight="1" x14ac:dyDescent="0.2">
      <c r="A28" s="86"/>
      <c r="B28" s="86"/>
      <c r="C28" s="86"/>
      <c r="D28" s="86"/>
      <c r="E28" s="86"/>
      <c r="F28" s="87">
        <f>F27*55</f>
        <v>1223255</v>
      </c>
      <c r="G28" s="86"/>
      <c r="J28" s="86"/>
      <c r="K28" s="86"/>
      <c r="L28" s="86"/>
      <c r="M28" s="86"/>
      <c r="N28" s="86"/>
      <c r="O28" s="87">
        <f>O27*55</f>
        <v>1858890</v>
      </c>
      <c r="P28" s="86"/>
      <c r="R28" s="102">
        <f>+F28+O28+F53+O53+F81+O81+F109</f>
        <v>14119325</v>
      </c>
      <c r="S28" s="103">
        <f>+R28+Contadores!K15+Municipios!H23</f>
        <v>15239185</v>
      </c>
    </row>
    <row r="30" spans="1:19" ht="48" x14ac:dyDescent="0.2">
      <c r="A30" s="64" t="s">
        <v>36</v>
      </c>
      <c r="B30" s="65" t="s">
        <v>1</v>
      </c>
      <c r="C30" s="64" t="s">
        <v>2</v>
      </c>
      <c r="D30" s="65" t="s">
        <v>3</v>
      </c>
      <c r="E30" s="64" t="s">
        <v>2</v>
      </c>
      <c r="F30" s="65" t="s">
        <v>4</v>
      </c>
      <c r="G30" s="65" t="s">
        <v>5</v>
      </c>
      <c r="J30" s="69" t="s">
        <v>37</v>
      </c>
      <c r="K30" s="70" t="s">
        <v>1</v>
      </c>
      <c r="L30" s="69" t="s">
        <v>2</v>
      </c>
      <c r="M30" s="70" t="s">
        <v>3</v>
      </c>
      <c r="N30" s="69" t="s">
        <v>2</v>
      </c>
      <c r="O30" s="70" t="s">
        <v>4</v>
      </c>
      <c r="P30" s="70" t="s">
        <v>5</v>
      </c>
    </row>
    <row r="31" spans="1:19" ht="13.5" customHeight="1" x14ac:dyDescent="0.2">
      <c r="A31" s="66">
        <v>43525</v>
      </c>
      <c r="B31" s="67">
        <f>164+53+9+14+18+2</f>
        <v>260</v>
      </c>
      <c r="C31" s="67">
        <v>6</v>
      </c>
      <c r="D31" s="67">
        <f>1+11+189+30+9+127+146+10+36+3</f>
        <v>562</v>
      </c>
      <c r="E31" s="67">
        <v>10</v>
      </c>
      <c r="F31" s="67">
        <f t="shared" ref="F31:F50" si="7">B31+D31</f>
        <v>822</v>
      </c>
      <c r="G31" s="67">
        <f t="shared" ref="G31:G50" si="8">C31+E31</f>
        <v>16</v>
      </c>
      <c r="J31" s="66">
        <v>43556</v>
      </c>
      <c r="K31" s="67">
        <f>45+180+226+591+2+4+4</f>
        <v>1052</v>
      </c>
      <c r="L31" s="67">
        <v>7</v>
      </c>
      <c r="M31" s="67">
        <f>2+8+20+22+25+36+94+97+160+167+179+314+974</f>
        <v>2098</v>
      </c>
      <c r="N31" s="67">
        <v>13</v>
      </c>
      <c r="O31" s="67">
        <f>K31+M31</f>
        <v>3150</v>
      </c>
      <c r="P31" s="67">
        <f>L31+N31</f>
        <v>20</v>
      </c>
    </row>
    <row r="32" spans="1:19" ht="13.5" customHeight="1" x14ac:dyDescent="0.2">
      <c r="A32" s="66">
        <v>43528</v>
      </c>
      <c r="B32" s="67">
        <f>113+113+113+113+184+200+4+5+5+10+12</f>
        <v>872</v>
      </c>
      <c r="C32" s="67">
        <v>11</v>
      </c>
      <c r="D32" s="67">
        <f>2+3+3+6+9+24+31+33+36+46+52+86+91+102</f>
        <v>524</v>
      </c>
      <c r="E32" s="67">
        <v>14</v>
      </c>
      <c r="F32" s="67">
        <f t="shared" si="7"/>
        <v>1396</v>
      </c>
      <c r="G32" s="67">
        <f t="shared" si="8"/>
        <v>25</v>
      </c>
      <c r="J32" s="66">
        <v>43557</v>
      </c>
      <c r="K32" s="67">
        <f>15+15+13+13+5+7+5+6+5+12+10</f>
        <v>106</v>
      </c>
      <c r="L32" s="67">
        <v>11</v>
      </c>
      <c r="M32" s="67">
        <f>196+1+40+29+11+8+56+1+100+164+20+1+6+376+84+4+2+62+13</f>
        <v>1174</v>
      </c>
      <c r="N32" s="67">
        <v>19</v>
      </c>
      <c r="O32" s="67">
        <f t="shared" ref="O32:O47" si="9">K32+M32</f>
        <v>1280</v>
      </c>
      <c r="P32" s="67">
        <f t="shared" ref="P32:P47" si="10">L32+N32</f>
        <v>30</v>
      </c>
    </row>
    <row r="33" spans="1:16" ht="13.5" customHeight="1" x14ac:dyDescent="0.2">
      <c r="A33" s="66">
        <v>43529</v>
      </c>
      <c r="B33" s="67">
        <f>60+286+2+2+2+5+6+6+9+20</f>
        <v>398</v>
      </c>
      <c r="C33" s="67">
        <v>10</v>
      </c>
      <c r="D33" s="67">
        <f>1+3+5+7+8+15+16+18+20+21+23+26+44+85+89+145+149+403</f>
        <v>1078</v>
      </c>
      <c r="E33" s="67">
        <v>18</v>
      </c>
      <c r="F33" s="67">
        <f t="shared" si="7"/>
        <v>1476</v>
      </c>
      <c r="G33" s="67">
        <f t="shared" si="8"/>
        <v>28</v>
      </c>
      <c r="J33" s="66">
        <v>43558</v>
      </c>
      <c r="K33" s="67">
        <f>43+133+282+1+2+2+8+11+14+14+15+15+17+19</f>
        <v>576</v>
      </c>
      <c r="L33" s="67">
        <v>14</v>
      </c>
      <c r="M33" s="67">
        <f>6+8+10+14+40+64+66+72+115+119+120+141+158+263</f>
        <v>1196</v>
      </c>
      <c r="N33" s="67">
        <v>14</v>
      </c>
      <c r="O33" s="67">
        <f t="shared" si="9"/>
        <v>1772</v>
      </c>
      <c r="P33" s="67">
        <f t="shared" si="10"/>
        <v>28</v>
      </c>
    </row>
    <row r="34" spans="1:16" ht="14.25" customHeight="1" x14ac:dyDescent="0.2">
      <c r="A34" s="66">
        <v>43530</v>
      </c>
      <c r="B34" s="67">
        <f>4+5+7+9+15+16+17</f>
        <v>73</v>
      </c>
      <c r="C34" s="67">
        <v>7</v>
      </c>
      <c r="D34" s="67">
        <f>4+4+6+8+9+27+36+39+51+57+84+111+187+203+220+421</f>
        <v>1467</v>
      </c>
      <c r="E34" s="67">
        <v>16</v>
      </c>
      <c r="F34" s="67">
        <f t="shared" si="7"/>
        <v>1540</v>
      </c>
      <c r="G34" s="67">
        <f t="shared" si="8"/>
        <v>23</v>
      </c>
      <c r="J34" s="66">
        <v>43559</v>
      </c>
      <c r="K34" s="67">
        <f>319+1550+4+4+6+15+15+15+15+15+15+15+16+16</f>
        <v>2020</v>
      </c>
      <c r="L34" s="67">
        <v>14</v>
      </c>
      <c r="M34" s="67">
        <f>3+23+24+26+60+98+114+115+126+174+199</f>
        <v>962</v>
      </c>
      <c r="N34" s="67">
        <v>11</v>
      </c>
      <c r="O34" s="67">
        <f t="shared" si="9"/>
        <v>2982</v>
      </c>
      <c r="P34" s="67">
        <f t="shared" si="10"/>
        <v>25</v>
      </c>
    </row>
    <row r="35" spans="1:16" ht="13.5" customHeight="1" x14ac:dyDescent="0.2">
      <c r="A35" s="66">
        <v>43531</v>
      </c>
      <c r="B35" s="68">
        <f>48+66+246+2+5+10+13+14+25</f>
        <v>429</v>
      </c>
      <c r="C35" s="67">
        <v>9</v>
      </c>
      <c r="D35" s="68">
        <f>3+6+7+8+21+22+22+32+67+73+85+88+168+217+1710</f>
        <v>2529</v>
      </c>
      <c r="E35" s="67">
        <v>15</v>
      </c>
      <c r="F35" s="67">
        <f t="shared" si="7"/>
        <v>2958</v>
      </c>
      <c r="G35" s="67">
        <f t="shared" si="8"/>
        <v>24</v>
      </c>
      <c r="J35" s="66">
        <v>43560</v>
      </c>
      <c r="K35" s="67">
        <f>1+3+3+7+11+12+13+14+15+15+15+15+15+15+19+19</f>
        <v>192</v>
      </c>
      <c r="L35" s="67">
        <v>16</v>
      </c>
      <c r="M35" s="67">
        <f>8+13+17+38+45+60+160+180+214+220+250+296+378+1009</f>
        <v>2888</v>
      </c>
      <c r="N35" s="67">
        <v>14</v>
      </c>
      <c r="O35" s="67">
        <f t="shared" si="9"/>
        <v>3080</v>
      </c>
      <c r="P35" s="67">
        <f t="shared" si="10"/>
        <v>30</v>
      </c>
    </row>
    <row r="36" spans="1:16" ht="13.5" customHeight="1" x14ac:dyDescent="0.2">
      <c r="A36" s="66">
        <v>43532</v>
      </c>
      <c r="B36" s="68">
        <f>53+86+126+150+3+4+6+8+10+11+25+25+25+25+25</f>
        <v>582</v>
      </c>
      <c r="C36" s="67">
        <v>15</v>
      </c>
      <c r="D36" s="68">
        <f>5+7+8+22+39+40+42+50+51+98+100+146+172+271+430</f>
        <v>1481</v>
      </c>
      <c r="E36" s="67">
        <v>15</v>
      </c>
      <c r="F36" s="67">
        <f t="shared" si="7"/>
        <v>2063</v>
      </c>
      <c r="G36" s="67">
        <f t="shared" si="8"/>
        <v>30</v>
      </c>
      <c r="J36" s="66">
        <v>43563</v>
      </c>
      <c r="K36" s="67">
        <f>357+34+2+2+2+2+6+7+13+21+25</f>
        <v>471</v>
      </c>
      <c r="L36" s="67">
        <v>11</v>
      </c>
      <c r="M36" s="67">
        <f>42+58+65+70+73+78+85+112+127+135+172+301</f>
        <v>1318</v>
      </c>
      <c r="N36" s="67">
        <v>12</v>
      </c>
      <c r="O36" s="67">
        <f t="shared" si="9"/>
        <v>1789</v>
      </c>
      <c r="P36" s="67">
        <f t="shared" si="10"/>
        <v>23</v>
      </c>
    </row>
    <row r="37" spans="1:16" ht="13.5" customHeight="1" x14ac:dyDescent="0.2">
      <c r="A37" s="66">
        <v>43535</v>
      </c>
      <c r="B37" s="68">
        <f>80+166+300+300+3</f>
        <v>849</v>
      </c>
      <c r="C37" s="67">
        <v>5</v>
      </c>
      <c r="D37" s="68">
        <f>17+21+22+32+33+33+35+40+44+56+86+100+109+148+195</f>
        <v>971</v>
      </c>
      <c r="E37" s="67">
        <v>15</v>
      </c>
      <c r="F37" s="67">
        <f t="shared" si="7"/>
        <v>1820</v>
      </c>
      <c r="G37" s="67">
        <f t="shared" si="8"/>
        <v>20</v>
      </c>
      <c r="J37" s="66">
        <v>43564</v>
      </c>
      <c r="K37" s="67">
        <f>1400+780+180+133+82+5+6+12+13+14+15+17+25+25</f>
        <v>2707</v>
      </c>
      <c r="L37" s="67">
        <v>14</v>
      </c>
      <c r="M37" s="67">
        <f>8+11+13+27+31+36+38+46+90+98+112+193+346+349</f>
        <v>1398</v>
      </c>
      <c r="N37" s="67">
        <v>14</v>
      </c>
      <c r="O37" s="67">
        <f t="shared" si="9"/>
        <v>4105</v>
      </c>
      <c r="P37" s="67">
        <f t="shared" si="10"/>
        <v>28</v>
      </c>
    </row>
    <row r="38" spans="1:16" ht="13.5" customHeight="1" x14ac:dyDescent="0.2">
      <c r="A38" s="66">
        <v>43536</v>
      </c>
      <c r="B38" s="68">
        <f>49+300+1+2+9+10+19</f>
        <v>390</v>
      </c>
      <c r="C38" s="67">
        <v>7</v>
      </c>
      <c r="D38" s="68">
        <f>2+2+3+5+32+34+37+38+50+61+90+144+162+182</f>
        <v>842</v>
      </c>
      <c r="E38" s="67">
        <v>14</v>
      </c>
      <c r="F38" s="67">
        <f t="shared" si="7"/>
        <v>1232</v>
      </c>
      <c r="G38" s="67">
        <f t="shared" si="8"/>
        <v>21</v>
      </c>
      <c r="J38" s="66">
        <v>43565</v>
      </c>
      <c r="K38" s="67">
        <f>29+78+3+3+6+8+8+8+8+10+12+13+15+15+25</f>
        <v>241</v>
      </c>
      <c r="L38" s="67">
        <v>15</v>
      </c>
      <c r="M38" s="67">
        <f>11+16+21+21+28+57+83+97+166+167+208+280+470+995</f>
        <v>2620</v>
      </c>
      <c r="N38" s="67">
        <v>14</v>
      </c>
      <c r="O38" s="67">
        <f t="shared" si="9"/>
        <v>2861</v>
      </c>
      <c r="P38" s="67">
        <f t="shared" si="10"/>
        <v>29</v>
      </c>
    </row>
    <row r="39" spans="1:16" ht="13.5" customHeight="1" x14ac:dyDescent="0.2">
      <c r="A39" s="66">
        <v>43537</v>
      </c>
      <c r="B39" s="68">
        <f>34+3+9+18</f>
        <v>64</v>
      </c>
      <c r="C39" s="67">
        <v>4</v>
      </c>
      <c r="D39" s="68">
        <f>3+4+6+10+15+16+31+40+46+77+130+149+167+208+250</f>
        <v>1152</v>
      </c>
      <c r="E39" s="67">
        <v>15</v>
      </c>
      <c r="F39" s="67">
        <f t="shared" si="7"/>
        <v>1216</v>
      </c>
      <c r="G39" s="67">
        <f t="shared" si="8"/>
        <v>19</v>
      </c>
      <c r="J39" s="66">
        <v>43566</v>
      </c>
      <c r="K39" s="67">
        <f>264+120+120+78+2+3+4+7+8+9+13+20</f>
        <v>648</v>
      </c>
      <c r="L39" s="67">
        <v>12</v>
      </c>
      <c r="M39" s="67">
        <f>5+8+33+53+61+111+115+127+176+185+212+236</f>
        <v>1322</v>
      </c>
      <c r="N39" s="67">
        <v>12</v>
      </c>
      <c r="O39" s="67">
        <f t="shared" si="9"/>
        <v>1970</v>
      </c>
      <c r="P39" s="67">
        <f t="shared" si="10"/>
        <v>24</v>
      </c>
    </row>
    <row r="40" spans="1:16" ht="13.5" customHeight="1" x14ac:dyDescent="0.2">
      <c r="A40" s="66">
        <v>43538</v>
      </c>
      <c r="B40" s="68">
        <f>48+113+3+3+4+4+4+4+5+9+10+19</f>
        <v>226</v>
      </c>
      <c r="C40" s="67">
        <v>12</v>
      </c>
      <c r="D40" s="68">
        <f>5+6+9+10+26+36+40+52+59+76+83+102+105+149+230+301</f>
        <v>1289</v>
      </c>
      <c r="E40" s="67">
        <v>16</v>
      </c>
      <c r="F40" s="67">
        <f t="shared" si="7"/>
        <v>1515</v>
      </c>
      <c r="G40" s="67">
        <f t="shared" si="8"/>
        <v>28</v>
      </c>
      <c r="J40" s="66">
        <v>43567</v>
      </c>
      <c r="K40" s="67">
        <f>333+1+2+2+2+2+5+5+6+10+10+10+10+10+15+17+19+19+19+25</f>
        <v>522</v>
      </c>
      <c r="L40" s="67">
        <v>20</v>
      </c>
      <c r="M40" s="67">
        <f>8+20+28+30+39+40+49+68+72+80+122+271+494</f>
        <v>1321</v>
      </c>
      <c r="N40" s="67">
        <v>13</v>
      </c>
      <c r="O40" s="67">
        <f t="shared" si="9"/>
        <v>1843</v>
      </c>
      <c r="P40" s="67">
        <f t="shared" si="10"/>
        <v>33</v>
      </c>
    </row>
    <row r="41" spans="1:16" ht="13.5" customHeight="1" x14ac:dyDescent="0.2">
      <c r="A41" s="66">
        <v>43539</v>
      </c>
      <c r="B41" s="68">
        <f>266+21+1+2+3+3+4+10+10+12</f>
        <v>332</v>
      </c>
      <c r="C41" s="67">
        <v>10</v>
      </c>
      <c r="D41" s="68">
        <f>1+7+10+24+32+50+52+71+74+108+258+265</f>
        <v>952</v>
      </c>
      <c r="E41" s="67">
        <v>12</v>
      </c>
      <c r="F41" s="67">
        <f t="shared" si="7"/>
        <v>1284</v>
      </c>
      <c r="G41" s="67">
        <f t="shared" si="8"/>
        <v>22</v>
      </c>
      <c r="J41" s="66">
        <v>43577</v>
      </c>
      <c r="K41" s="67">
        <f>872+237+179+133+120+1+3+7</f>
        <v>1552</v>
      </c>
      <c r="L41" s="67">
        <v>8</v>
      </c>
      <c r="M41" s="67">
        <f>2+8+19+28+29+42+45+54+61+113+160+177+186+389+452</f>
        <v>1765</v>
      </c>
      <c r="N41" s="67">
        <v>15</v>
      </c>
      <c r="O41" s="67">
        <f t="shared" si="9"/>
        <v>3317</v>
      </c>
      <c r="P41" s="67">
        <f t="shared" si="10"/>
        <v>23</v>
      </c>
    </row>
    <row r="42" spans="1:16" ht="13.5" customHeight="1" x14ac:dyDescent="0.2">
      <c r="A42" s="66">
        <v>43542</v>
      </c>
      <c r="B42" s="68">
        <f>52+2+2+4+12+12</f>
        <v>84</v>
      </c>
      <c r="C42" s="67">
        <v>6</v>
      </c>
      <c r="D42" s="68">
        <f>3+4+4+4+4+5+7+8+20+26+33+43+51+68+82+211+116+120+429</f>
        <v>1238</v>
      </c>
      <c r="E42" s="67">
        <v>19</v>
      </c>
      <c r="F42" s="67">
        <f t="shared" si="7"/>
        <v>1322</v>
      </c>
      <c r="G42" s="67">
        <f t="shared" si="8"/>
        <v>25</v>
      </c>
      <c r="J42" s="66">
        <v>43578</v>
      </c>
      <c r="K42" s="67">
        <f>33+2+2+5+6+9+10+13+13+14+15+15+15</f>
        <v>152</v>
      </c>
      <c r="L42" s="67">
        <v>13</v>
      </c>
      <c r="M42" s="67">
        <f>2+9+19+20+24+24+34+40+47+62+80+246+267+2610</f>
        <v>3484</v>
      </c>
      <c r="N42" s="67">
        <v>14</v>
      </c>
      <c r="O42" s="67">
        <f t="shared" si="9"/>
        <v>3636</v>
      </c>
      <c r="P42" s="67">
        <f t="shared" si="10"/>
        <v>27</v>
      </c>
    </row>
    <row r="43" spans="1:16" ht="13.5" customHeight="1" x14ac:dyDescent="0.2">
      <c r="A43" s="66">
        <v>43543</v>
      </c>
      <c r="B43" s="68">
        <f>73+3+6+7+7+10+16</f>
        <v>122</v>
      </c>
      <c r="C43" s="67">
        <v>7</v>
      </c>
      <c r="D43" s="68">
        <f>2+5+27+51+62+75+90+142+149+163+171+837</f>
        <v>1774</v>
      </c>
      <c r="E43" s="67">
        <v>12</v>
      </c>
      <c r="F43" s="67">
        <f t="shared" si="7"/>
        <v>1896</v>
      </c>
      <c r="G43" s="67">
        <f t="shared" si="8"/>
        <v>19</v>
      </c>
      <c r="J43" s="66">
        <v>43579</v>
      </c>
      <c r="K43" s="67">
        <f>53+1+1+2+4+9+10+15+16+19+19+19+19+19+19</f>
        <v>225</v>
      </c>
      <c r="L43" s="67">
        <v>15</v>
      </c>
      <c r="M43" s="67">
        <f>1+18+20+22+24+38+43+53+74+88+104+256+787</f>
        <v>1528</v>
      </c>
      <c r="N43" s="67">
        <v>13</v>
      </c>
      <c r="O43" s="67">
        <f t="shared" si="9"/>
        <v>1753</v>
      </c>
      <c r="P43" s="67">
        <f t="shared" si="10"/>
        <v>28</v>
      </c>
    </row>
    <row r="44" spans="1:16" ht="13.5" customHeight="1" x14ac:dyDescent="0.2">
      <c r="A44" s="66">
        <v>43544</v>
      </c>
      <c r="B44" s="68">
        <f>81+333+2+3+6+6+7+8+9+10+14+15+19+25+25+25+25+25+25+19</f>
        <v>682</v>
      </c>
      <c r="C44" s="67">
        <v>20</v>
      </c>
      <c r="D44" s="68">
        <f>4+12+13+50+68+120+171+800</f>
        <v>1238</v>
      </c>
      <c r="E44" s="67">
        <v>8</v>
      </c>
      <c r="F44" s="67">
        <f t="shared" si="7"/>
        <v>1920</v>
      </c>
      <c r="G44" s="67">
        <f t="shared" si="8"/>
        <v>28</v>
      </c>
      <c r="J44" s="66">
        <v>43580</v>
      </c>
      <c r="K44" s="67">
        <f>124+108+50+7+11+11+19+16</f>
        <v>346</v>
      </c>
      <c r="L44" s="67">
        <v>8</v>
      </c>
      <c r="M44" s="67">
        <f>9+15+20+21+22+27+37+40+58+166+341+469</f>
        <v>1225</v>
      </c>
      <c r="N44" s="67">
        <v>12</v>
      </c>
      <c r="O44" s="67">
        <f t="shared" si="9"/>
        <v>1571</v>
      </c>
      <c r="P44" s="67">
        <f t="shared" si="10"/>
        <v>20</v>
      </c>
    </row>
    <row r="45" spans="1:16" ht="13.5" customHeight="1" x14ac:dyDescent="0.2">
      <c r="A45" s="66">
        <v>43545</v>
      </c>
      <c r="B45" s="68">
        <f>24+4+5+6+6+7+8+12</f>
        <v>72</v>
      </c>
      <c r="C45" s="67">
        <v>8</v>
      </c>
      <c r="D45" s="68">
        <f>2+4+5+9+23+34+40+41+93+174+177+206+319+802</f>
        <v>1929</v>
      </c>
      <c r="E45" s="67">
        <v>14</v>
      </c>
      <c r="F45" s="67">
        <f t="shared" si="7"/>
        <v>2001</v>
      </c>
      <c r="G45" s="67">
        <f t="shared" si="8"/>
        <v>22</v>
      </c>
      <c r="J45" s="66">
        <v>43581</v>
      </c>
      <c r="K45" s="67">
        <f>255+3+3+4+6+8+9+10+12+13+13+19+19</f>
        <v>374</v>
      </c>
      <c r="L45" s="67">
        <v>13</v>
      </c>
      <c r="M45" s="67">
        <f>1+2+3+6+15+23+31+32+52+103+118+151+176+233</f>
        <v>946</v>
      </c>
      <c r="N45" s="67">
        <v>14</v>
      </c>
      <c r="O45" s="67">
        <f t="shared" si="9"/>
        <v>1320</v>
      </c>
      <c r="P45" s="67">
        <f t="shared" si="10"/>
        <v>27</v>
      </c>
    </row>
    <row r="46" spans="1:16" ht="13.5" customHeight="1" x14ac:dyDescent="0.2">
      <c r="A46" s="66">
        <v>43546</v>
      </c>
      <c r="B46" s="68">
        <f>86+245+366+2+2+3+4+5+5+6+6+7</f>
        <v>737</v>
      </c>
      <c r="C46" s="67">
        <v>12</v>
      </c>
      <c r="D46" s="68">
        <f>1+4+10+17+18+23+30+47+49+55+62+67+68+159+161+190+399+1470</f>
        <v>2830</v>
      </c>
      <c r="E46" s="67">
        <v>18</v>
      </c>
      <c r="F46" s="67">
        <f t="shared" si="7"/>
        <v>3567</v>
      </c>
      <c r="G46" s="67">
        <f t="shared" si="8"/>
        <v>30</v>
      </c>
      <c r="J46" s="66">
        <v>43614</v>
      </c>
      <c r="K46" s="67">
        <f>70+6+6+8+12+13+16+16+21</f>
        <v>168</v>
      </c>
      <c r="L46" s="67">
        <v>9</v>
      </c>
      <c r="M46" s="67">
        <f>13+30+34+42+74+86+139+164+174+210+467</f>
        <v>1433</v>
      </c>
      <c r="N46" s="67">
        <v>11</v>
      </c>
      <c r="O46" s="67">
        <f t="shared" si="9"/>
        <v>1601</v>
      </c>
      <c r="P46" s="67">
        <f t="shared" si="10"/>
        <v>20</v>
      </c>
    </row>
    <row r="47" spans="1:16" ht="13.5" customHeight="1" x14ac:dyDescent="0.2">
      <c r="A47" s="66">
        <v>43550</v>
      </c>
      <c r="B47" s="68">
        <f>166+90+66+14+1+5+6+10+11</f>
        <v>369</v>
      </c>
      <c r="C47" s="67">
        <v>9</v>
      </c>
      <c r="D47" s="68">
        <f>9+18+13+136+37+16+92+2+501+103+207+216+78+34+17</f>
        <v>1479</v>
      </c>
      <c r="E47" s="67">
        <v>15</v>
      </c>
      <c r="F47" s="67">
        <f t="shared" si="7"/>
        <v>1848</v>
      </c>
      <c r="G47" s="67">
        <f t="shared" si="8"/>
        <v>24</v>
      </c>
      <c r="J47" s="66">
        <v>43615</v>
      </c>
      <c r="K47" s="67">
        <f>373+140+98+53+43+28+1+3+6+6+7+13+14+16</f>
        <v>801</v>
      </c>
      <c r="L47" s="67">
        <v>14</v>
      </c>
      <c r="M47" s="67">
        <f>1+32+37+75+107+178+372+801</f>
        <v>1603</v>
      </c>
      <c r="N47" s="67">
        <v>8</v>
      </c>
      <c r="O47" s="67">
        <f t="shared" si="9"/>
        <v>2404</v>
      </c>
      <c r="P47" s="67">
        <f t="shared" si="10"/>
        <v>22</v>
      </c>
    </row>
    <row r="48" spans="1:16" ht="13.5" customHeight="1" x14ac:dyDescent="0.2">
      <c r="A48" s="66">
        <v>43551</v>
      </c>
      <c r="B48" s="68">
        <f>40+60+146+2+3+4+5+15+15+15+15+15+15</f>
        <v>350</v>
      </c>
      <c r="C48" s="67">
        <v>13</v>
      </c>
      <c r="D48" s="68">
        <f>1+3+4+5+5+12+12+14+21+32+66+66+69+97+137+155+156+170+242+246</f>
        <v>1513</v>
      </c>
      <c r="E48" s="67">
        <v>20</v>
      </c>
      <c r="F48" s="67">
        <f t="shared" si="7"/>
        <v>1863</v>
      </c>
      <c r="G48" s="67">
        <f t="shared" si="8"/>
        <v>33</v>
      </c>
      <c r="J48" s="76"/>
      <c r="K48" s="77"/>
      <c r="L48" s="77"/>
      <c r="M48" s="77"/>
      <c r="N48" s="77"/>
      <c r="O48" s="77"/>
      <c r="P48" s="77"/>
    </row>
    <row r="49" spans="1:17" ht="13.5" customHeight="1" x14ac:dyDescent="0.2">
      <c r="A49" s="66">
        <v>43552</v>
      </c>
      <c r="B49" s="68">
        <f>213+2+3+3+3+3+6+12+15+15+15+15+15+16+18</f>
        <v>354</v>
      </c>
      <c r="C49" s="67">
        <v>15</v>
      </c>
      <c r="D49" s="68">
        <f>9+20+28+30+34+53+54+67+70+90+100+116+132+159</f>
        <v>962</v>
      </c>
      <c r="E49" s="67">
        <v>14</v>
      </c>
      <c r="F49" s="67">
        <f t="shared" si="7"/>
        <v>1316</v>
      </c>
      <c r="G49" s="67">
        <f t="shared" si="8"/>
        <v>29</v>
      </c>
      <c r="J49" s="61"/>
      <c r="K49" s="63"/>
      <c r="L49" s="63"/>
      <c r="M49" s="63"/>
      <c r="N49" s="63"/>
      <c r="O49" s="63"/>
      <c r="P49" s="63"/>
    </row>
    <row r="50" spans="1:17" ht="13.5" customHeight="1" x14ac:dyDescent="0.2">
      <c r="A50" s="66">
        <v>43553</v>
      </c>
      <c r="B50" s="68">
        <f>2+7+15+15+5+15+15+15+15</f>
        <v>104</v>
      </c>
      <c r="C50" s="67">
        <v>9</v>
      </c>
      <c r="D50" s="68">
        <f>8+15+19+30+35+35+36+42+68+69+84+99+168+175+400</f>
        <v>1283</v>
      </c>
      <c r="E50" s="67">
        <v>15</v>
      </c>
      <c r="F50" s="67">
        <f t="shared" si="7"/>
        <v>1387</v>
      </c>
      <c r="G50" s="67">
        <f t="shared" si="8"/>
        <v>24</v>
      </c>
      <c r="J50" s="61"/>
      <c r="K50" s="63"/>
      <c r="L50" s="63"/>
      <c r="M50" s="63"/>
      <c r="N50" s="63"/>
      <c r="O50" s="63"/>
      <c r="P50" s="63"/>
    </row>
    <row r="51" spans="1:17" ht="13.5" customHeight="1" x14ac:dyDescent="0.2">
      <c r="A51" s="61"/>
      <c r="B51" s="62"/>
      <c r="C51" s="63"/>
      <c r="D51" s="62"/>
      <c r="E51" s="63"/>
      <c r="F51" s="63"/>
      <c r="G51" s="63"/>
      <c r="J51" s="61"/>
      <c r="K51" s="62"/>
      <c r="L51" s="63"/>
      <c r="M51" s="62"/>
      <c r="N51" s="63"/>
      <c r="O51" s="63"/>
      <c r="P51" s="63"/>
    </row>
    <row r="52" spans="1:17" ht="13.5" customHeight="1" x14ac:dyDescent="0.2">
      <c r="A52" s="74" t="s">
        <v>6</v>
      </c>
      <c r="B52" s="71">
        <f t="shared" ref="B52:G52" si="11">SUM(B30:B51)</f>
        <v>7349</v>
      </c>
      <c r="C52" s="71">
        <f t="shared" si="11"/>
        <v>195</v>
      </c>
      <c r="D52" s="71">
        <f t="shared" si="11"/>
        <v>27093</v>
      </c>
      <c r="E52" s="71">
        <f t="shared" si="11"/>
        <v>295</v>
      </c>
      <c r="F52" s="71">
        <f>SUM(F31:F51)</f>
        <v>34442</v>
      </c>
      <c r="G52" s="71">
        <f t="shared" si="11"/>
        <v>490</v>
      </c>
      <c r="J52" s="75" t="s">
        <v>6</v>
      </c>
      <c r="K52" s="71">
        <f t="shared" ref="K52:P52" si="12">SUM(K31:K51)</f>
        <v>12153</v>
      </c>
      <c r="L52" s="71">
        <f t="shared" si="12"/>
        <v>214</v>
      </c>
      <c r="M52" s="71">
        <f t="shared" si="12"/>
        <v>28281</v>
      </c>
      <c r="N52" s="71">
        <f t="shared" si="12"/>
        <v>223</v>
      </c>
      <c r="O52" s="71">
        <f t="shared" si="12"/>
        <v>40434</v>
      </c>
      <c r="P52" s="71">
        <f t="shared" si="12"/>
        <v>437</v>
      </c>
    </row>
    <row r="53" spans="1:17" ht="13.5" customHeight="1" x14ac:dyDescent="0.2">
      <c r="A53" s="72"/>
      <c r="B53" s="72"/>
      <c r="C53" s="72"/>
      <c r="D53" s="72"/>
      <c r="E53" s="72"/>
      <c r="F53" s="73">
        <f>F52*55</f>
        <v>1894310</v>
      </c>
      <c r="G53" s="72"/>
      <c r="J53" s="78"/>
      <c r="K53" s="78"/>
      <c r="L53" s="78"/>
      <c r="M53" s="78"/>
      <c r="N53" s="78"/>
      <c r="O53" s="73">
        <f>+O52*55</f>
        <v>2223870</v>
      </c>
      <c r="P53" s="78"/>
    </row>
    <row r="54" spans="1:17" ht="13.5" customHeight="1" x14ac:dyDescent="0.2">
      <c r="A54" s="78"/>
      <c r="B54" s="78"/>
      <c r="C54" s="78"/>
      <c r="D54" s="78"/>
      <c r="E54" s="78"/>
      <c r="F54" s="78"/>
      <c r="G54" s="78"/>
    </row>
    <row r="56" spans="1:17" ht="48" x14ac:dyDescent="0.2">
      <c r="A56" s="64" t="s">
        <v>84</v>
      </c>
      <c r="B56" s="65" t="s">
        <v>1</v>
      </c>
      <c r="C56" s="64" t="s">
        <v>2</v>
      </c>
      <c r="D56" s="65" t="s">
        <v>3</v>
      </c>
      <c r="E56" s="64" t="s">
        <v>2</v>
      </c>
      <c r="F56" s="65" t="s">
        <v>4</v>
      </c>
      <c r="G56" s="65" t="s">
        <v>5</v>
      </c>
      <c r="H56" s="65" t="s">
        <v>86</v>
      </c>
      <c r="J56" s="69" t="s">
        <v>85</v>
      </c>
      <c r="K56" s="70" t="s">
        <v>1</v>
      </c>
      <c r="L56" s="69" t="s">
        <v>2</v>
      </c>
      <c r="M56" s="70" t="s">
        <v>3</v>
      </c>
      <c r="N56" s="69" t="s">
        <v>2</v>
      </c>
      <c r="O56" s="70" t="s">
        <v>4</v>
      </c>
      <c r="P56" s="70" t="s">
        <v>5</v>
      </c>
      <c r="Q56" s="70" t="s">
        <v>86</v>
      </c>
    </row>
    <row r="57" spans="1:17" ht="13.5" customHeight="1" x14ac:dyDescent="0.2">
      <c r="A57" s="66">
        <v>43587</v>
      </c>
      <c r="B57" s="67">
        <f>975+80+53+9+10+11+13+13</f>
        <v>1164</v>
      </c>
      <c r="C57" s="67">
        <v>8</v>
      </c>
      <c r="D57" s="67">
        <f>16+18+37+43+50+50+55+83+108+199+235+273+450</f>
        <v>1617</v>
      </c>
      <c r="E57" s="67">
        <v>13</v>
      </c>
      <c r="F57" s="67">
        <f t="shared" ref="F57:F78" si="13">B57+D57</f>
        <v>2781</v>
      </c>
      <c r="G57" s="67">
        <f t="shared" ref="G57:G78" si="14">C57+E57</f>
        <v>21</v>
      </c>
      <c r="H57" s="79"/>
      <c r="J57" s="66">
        <v>43620</v>
      </c>
      <c r="K57" s="67">
        <f>53+90+1+3+5+18+18</f>
        <v>188</v>
      </c>
      <c r="L57" s="67">
        <v>7</v>
      </c>
      <c r="M57" s="67">
        <f>4+6+6+7+7+12+17+17+20+46+48+69+212+245+249</f>
        <v>965</v>
      </c>
      <c r="N57" s="67">
        <v>15</v>
      </c>
      <c r="O57" s="67">
        <f t="shared" ref="O57:O74" si="15">K57+M57</f>
        <v>1153</v>
      </c>
      <c r="P57" s="67">
        <f t="shared" ref="P57:P74" si="16">L57+N57</f>
        <v>22</v>
      </c>
      <c r="Q57" s="79"/>
    </row>
    <row r="58" spans="1:17" ht="13.5" customHeight="1" x14ac:dyDescent="0.2">
      <c r="A58" s="66">
        <v>43588</v>
      </c>
      <c r="B58" s="67">
        <f>35+70+80+93+200+2+2+4+10+11+11+12+25</f>
        <v>555</v>
      </c>
      <c r="C58" s="67">
        <v>13</v>
      </c>
      <c r="D58" s="67">
        <f>3+4+17+55+65+112+158+397+420+490</f>
        <v>1721</v>
      </c>
      <c r="E58" s="67">
        <v>10</v>
      </c>
      <c r="F58" s="67">
        <f t="shared" si="13"/>
        <v>2276</v>
      </c>
      <c r="G58" s="67">
        <f t="shared" si="14"/>
        <v>23</v>
      </c>
      <c r="H58" s="79"/>
      <c r="J58" s="66">
        <v>43621</v>
      </c>
      <c r="K58" s="67">
        <f>60+1+1+2+7+10+15+15+19</f>
        <v>130</v>
      </c>
      <c r="L58" s="67">
        <v>9</v>
      </c>
      <c r="M58" s="67">
        <f>1+6+6+7+14+15+18+18+20+20+22+23+24+29+30+33+35+42+52+82+116+117+118+134+142+143</f>
        <v>1267</v>
      </c>
      <c r="N58" s="67">
        <v>26</v>
      </c>
      <c r="O58" s="67">
        <f t="shared" si="15"/>
        <v>1397</v>
      </c>
      <c r="P58" s="67">
        <f t="shared" si="16"/>
        <v>35</v>
      </c>
      <c r="Q58" s="79"/>
    </row>
    <row r="59" spans="1:17" ht="13.5" customHeight="1" x14ac:dyDescent="0.2">
      <c r="A59" s="66">
        <v>43591</v>
      </c>
      <c r="B59" s="67">
        <f>219+53+34+15+5+1+2+2+3+3+4+4+4+4+5+8+10+15+19+21+25</f>
        <v>456</v>
      </c>
      <c r="C59" s="67">
        <v>21</v>
      </c>
      <c r="D59" s="67">
        <f>9+9+11+12+42+43+53+59+99+103+107+142+210</f>
        <v>899</v>
      </c>
      <c r="E59" s="67">
        <v>13</v>
      </c>
      <c r="F59" s="67">
        <f t="shared" si="13"/>
        <v>1355</v>
      </c>
      <c r="G59" s="67">
        <f t="shared" si="14"/>
        <v>34</v>
      </c>
      <c r="H59" s="79"/>
      <c r="J59" s="66">
        <v>43622</v>
      </c>
      <c r="K59" s="67">
        <f>1546+630+55+60+2+8+9+10+13+13+25+25</f>
        <v>2396</v>
      </c>
      <c r="L59" s="67">
        <v>12</v>
      </c>
      <c r="M59" s="67">
        <f>4+4+6+11+14+15+30+35+62+110+120+123+157+198+250</f>
        <v>1139</v>
      </c>
      <c r="N59" s="67">
        <v>15</v>
      </c>
      <c r="O59" s="67">
        <f t="shared" si="15"/>
        <v>3535</v>
      </c>
      <c r="P59" s="67">
        <f t="shared" si="16"/>
        <v>27</v>
      </c>
      <c r="Q59" s="79">
        <v>3</v>
      </c>
    </row>
    <row r="60" spans="1:17" ht="13.5" customHeight="1" x14ac:dyDescent="0.2">
      <c r="A60" s="66">
        <v>43592</v>
      </c>
      <c r="B60" s="67">
        <f>280+40+1+3+4+5+5+6+12+20+20+33</f>
        <v>429</v>
      </c>
      <c r="C60" s="67">
        <v>12</v>
      </c>
      <c r="D60" s="67">
        <f>4+34+43+62+71+72+97+112+169+253+389</f>
        <v>1306</v>
      </c>
      <c r="E60" s="67">
        <v>11</v>
      </c>
      <c r="F60" s="67">
        <f t="shared" si="13"/>
        <v>1735</v>
      </c>
      <c r="G60" s="67">
        <f t="shared" si="14"/>
        <v>23</v>
      </c>
      <c r="H60" s="79"/>
      <c r="J60" s="66">
        <v>43623</v>
      </c>
      <c r="K60" s="67">
        <f>87+53+50+46+45+7+8+13+19</f>
        <v>328</v>
      </c>
      <c r="L60" s="67">
        <v>9</v>
      </c>
      <c r="M60" s="67">
        <f>1+4+5+12+13+13+14+16+22+26+27+30+38+71+78+94+174+190+241+624+747</f>
        <v>2440</v>
      </c>
      <c r="N60" s="67">
        <v>21</v>
      </c>
      <c r="O60" s="67">
        <f t="shared" si="15"/>
        <v>2768</v>
      </c>
      <c r="P60" s="67">
        <f t="shared" si="16"/>
        <v>30</v>
      </c>
      <c r="Q60" s="79"/>
    </row>
    <row r="61" spans="1:17" ht="13.5" customHeight="1" x14ac:dyDescent="0.2">
      <c r="A61" s="66">
        <v>43593</v>
      </c>
      <c r="B61" s="68">
        <f>606+3+6+9+9+9+10+14+15+24</f>
        <v>705</v>
      </c>
      <c r="C61" s="67">
        <v>10</v>
      </c>
      <c r="D61" s="68">
        <f>2+4+14+18+67+71+71+91+93+99+101+110+156+234+365+390</f>
        <v>1886</v>
      </c>
      <c r="E61" s="67">
        <v>16</v>
      </c>
      <c r="F61" s="67">
        <f t="shared" si="13"/>
        <v>2591</v>
      </c>
      <c r="G61" s="67">
        <f t="shared" si="14"/>
        <v>26</v>
      </c>
      <c r="H61" s="79"/>
      <c r="J61" s="66">
        <v>43626</v>
      </c>
      <c r="K61" s="68">
        <f>78+52+46+40+24+10+10+12+14+15+25+17</f>
        <v>343</v>
      </c>
      <c r="L61" s="67">
        <v>12</v>
      </c>
      <c r="M61" s="68">
        <f>2+5+6+9+17+19+20+24+31+47+50+50+51+63+66+80+100+114+116+155+198</f>
        <v>1223</v>
      </c>
      <c r="N61" s="67">
        <v>21</v>
      </c>
      <c r="O61" s="67">
        <f t="shared" si="15"/>
        <v>1566</v>
      </c>
      <c r="P61" s="67">
        <f t="shared" si="16"/>
        <v>33</v>
      </c>
      <c r="Q61" s="79">
        <v>2</v>
      </c>
    </row>
    <row r="62" spans="1:17" ht="13.5" customHeight="1" x14ac:dyDescent="0.2">
      <c r="A62" s="66">
        <v>43594</v>
      </c>
      <c r="B62" s="68">
        <f>250+150+4+5+5+6+6+7+10+11+12+15+15+21</f>
        <v>517</v>
      </c>
      <c r="C62" s="67">
        <v>14</v>
      </c>
      <c r="D62" s="68">
        <f>18+22+26+30+30+48+160+248+295</f>
        <v>877</v>
      </c>
      <c r="E62" s="67">
        <v>9</v>
      </c>
      <c r="F62" s="67">
        <f t="shared" si="13"/>
        <v>1394</v>
      </c>
      <c r="G62" s="67">
        <f t="shared" si="14"/>
        <v>23</v>
      </c>
      <c r="H62" s="79"/>
      <c r="J62" s="66">
        <v>43627</v>
      </c>
      <c r="K62" s="68">
        <f>5333+426+200+54+1+1+2+4+4+4+5+8+10</f>
        <v>6052</v>
      </c>
      <c r="L62" s="67">
        <v>13</v>
      </c>
      <c r="M62" s="68">
        <f>6+6+10+17+36+39+48+55+57+62+67+70+70+70+80+96+239+376</f>
        <v>1404</v>
      </c>
      <c r="N62" s="67">
        <v>18</v>
      </c>
      <c r="O62" s="67">
        <f t="shared" si="15"/>
        <v>7456</v>
      </c>
      <c r="P62" s="67">
        <f t="shared" si="16"/>
        <v>31</v>
      </c>
      <c r="Q62" s="79">
        <v>4</v>
      </c>
    </row>
    <row r="63" spans="1:17" ht="13.5" customHeight="1" x14ac:dyDescent="0.2">
      <c r="A63" s="66">
        <v>43595</v>
      </c>
      <c r="B63" s="68">
        <f>213+73+70+9+12+15</f>
        <v>392</v>
      </c>
      <c r="C63" s="67">
        <v>6</v>
      </c>
      <c r="D63" s="68">
        <f>1+3+6+10+11+18+29+30+30+35+37+42+48+55+68+88+89+127+240</f>
        <v>967</v>
      </c>
      <c r="E63" s="67">
        <v>19</v>
      </c>
      <c r="F63" s="67">
        <f t="shared" si="13"/>
        <v>1359</v>
      </c>
      <c r="G63" s="67">
        <f t="shared" si="14"/>
        <v>25</v>
      </c>
      <c r="H63" s="79"/>
      <c r="J63" s="66">
        <v>43628</v>
      </c>
      <c r="K63" s="68">
        <f>866+221+153+126+76+45+1+7+11+12+12+12+14+19+19+19+19+19+19+19</f>
        <v>1689</v>
      </c>
      <c r="L63" s="67">
        <v>21</v>
      </c>
      <c r="M63" s="68">
        <f>1+4+4+6+6+11+17+20+28+31+34+39+50+62+70+88+120+128+146+218</f>
        <v>1083</v>
      </c>
      <c r="N63" s="67">
        <v>19</v>
      </c>
      <c r="O63" s="67">
        <f t="shared" si="15"/>
        <v>2772</v>
      </c>
      <c r="P63" s="67">
        <f t="shared" si="16"/>
        <v>40</v>
      </c>
      <c r="Q63" s="79">
        <v>4</v>
      </c>
    </row>
    <row r="64" spans="1:17" ht="13.5" customHeight="1" x14ac:dyDescent="0.2">
      <c r="A64" s="66">
        <v>43598</v>
      </c>
      <c r="B64" s="68">
        <f>1+1+2+6+10+15+17+25</f>
        <v>77</v>
      </c>
      <c r="C64" s="67">
        <v>8</v>
      </c>
      <c r="D64" s="67">
        <f>1+1+10+16+20+23+27+29+33+68+146+198+282+383</f>
        <v>1237</v>
      </c>
      <c r="E64" s="67">
        <v>14</v>
      </c>
      <c r="F64" s="67">
        <f t="shared" si="13"/>
        <v>1314</v>
      </c>
      <c r="G64" s="67">
        <f t="shared" si="14"/>
        <v>22</v>
      </c>
      <c r="H64" s="79">
        <v>2</v>
      </c>
      <c r="J64" s="66">
        <v>43629</v>
      </c>
      <c r="K64" s="68">
        <f>300+90+2+2+3+3+3+4+4+4+4+5+7+18</f>
        <v>449</v>
      </c>
      <c r="L64" s="67">
        <v>15</v>
      </c>
      <c r="M64" s="67">
        <f>4+11+16+20+27+42+43+50+54+62+68+113+121+136</f>
        <v>767</v>
      </c>
      <c r="N64" s="67">
        <v>23</v>
      </c>
      <c r="O64" s="67">
        <f t="shared" si="15"/>
        <v>1216</v>
      </c>
      <c r="P64" s="67">
        <f t="shared" si="16"/>
        <v>38</v>
      </c>
      <c r="Q64" s="79"/>
    </row>
    <row r="65" spans="1:17" ht="13.5" customHeight="1" x14ac:dyDescent="0.2">
      <c r="A65" s="66">
        <v>43599</v>
      </c>
      <c r="B65" s="68">
        <f>58+193+2+4+4+5+5+8+10+10+12</f>
        <v>311</v>
      </c>
      <c r="C65" s="67">
        <v>11</v>
      </c>
      <c r="D65" s="68">
        <f>2+10+14+16+38+41+78+105+122+132+143+204+296+355</f>
        <v>1556</v>
      </c>
      <c r="E65" s="67">
        <v>14</v>
      </c>
      <c r="F65" s="67">
        <f t="shared" si="13"/>
        <v>1867</v>
      </c>
      <c r="G65" s="67">
        <f t="shared" si="14"/>
        <v>25</v>
      </c>
      <c r="H65" s="79"/>
      <c r="J65" s="66">
        <v>43630</v>
      </c>
      <c r="K65" s="68">
        <f>2474+55+40+24+8+1+2+2+4+4+5+6+8+10+16+19+26</f>
        <v>2704</v>
      </c>
      <c r="L65" s="67">
        <v>17</v>
      </c>
      <c r="M65" s="68">
        <f>3+4+5+5+6+6+15+20+30+34+35+41+45+49+54+69+93+111+147+177+465</f>
        <v>1414</v>
      </c>
      <c r="N65" s="67">
        <v>21</v>
      </c>
      <c r="O65" s="67">
        <f t="shared" si="15"/>
        <v>4118</v>
      </c>
      <c r="P65" s="67">
        <f t="shared" si="16"/>
        <v>38</v>
      </c>
      <c r="Q65" s="79">
        <v>2</v>
      </c>
    </row>
    <row r="66" spans="1:17" ht="13.5" customHeight="1" x14ac:dyDescent="0.2">
      <c r="A66" s="66">
        <v>43600</v>
      </c>
      <c r="B66" s="68">
        <f>266+133+133+132+5+5+8+9+11+19+19+19+25+25+25</f>
        <v>834</v>
      </c>
      <c r="C66" s="67">
        <v>15</v>
      </c>
      <c r="D66" s="68">
        <f>3+10+11+14+16+21+24+25+33+39+50+58+87+120+126+169</f>
        <v>806</v>
      </c>
      <c r="E66" s="67">
        <v>16</v>
      </c>
      <c r="F66" s="67">
        <f t="shared" si="13"/>
        <v>1640</v>
      </c>
      <c r="G66" s="67">
        <f t="shared" si="14"/>
        <v>31</v>
      </c>
      <c r="H66" s="79">
        <v>2</v>
      </c>
      <c r="J66" s="66">
        <v>43633</v>
      </c>
      <c r="K66" s="68">
        <f>183+130+117+96+2+18+24+25+25+25</f>
        <v>645</v>
      </c>
      <c r="L66" s="67">
        <v>10</v>
      </c>
      <c r="M66" s="68">
        <f>5+5+5+9+10+11+27+53+58+66+66+93+98+104+773</f>
        <v>1383</v>
      </c>
      <c r="N66" s="67">
        <v>15</v>
      </c>
      <c r="O66" s="67">
        <f t="shared" si="15"/>
        <v>2028</v>
      </c>
      <c r="P66" s="67">
        <f t="shared" si="16"/>
        <v>25</v>
      </c>
      <c r="Q66" s="79">
        <v>2</v>
      </c>
    </row>
    <row r="67" spans="1:17" ht="13.5" customHeight="1" x14ac:dyDescent="0.2">
      <c r="A67" s="66">
        <v>43601</v>
      </c>
      <c r="B67" s="68">
        <f>30+61+66+210+350+568+2+8+8+10+15+15+15</f>
        <v>1358</v>
      </c>
      <c r="C67" s="67">
        <v>13</v>
      </c>
      <c r="D67" s="68">
        <f>1+3+9+9+10+16+20+35+42+44+52+52+78+91+96+315</f>
        <v>873</v>
      </c>
      <c r="E67" s="67">
        <v>16</v>
      </c>
      <c r="F67" s="67">
        <f t="shared" si="13"/>
        <v>2231</v>
      </c>
      <c r="G67" s="67">
        <f t="shared" si="14"/>
        <v>29</v>
      </c>
      <c r="H67" s="79"/>
      <c r="J67" s="66">
        <v>43634</v>
      </c>
      <c r="K67" s="68">
        <f>227+60+1+2+2+2+3+3+4+4+4+5+5+5+3+3+8+8+10+10+14+15+20</f>
        <v>418</v>
      </c>
      <c r="L67" s="67">
        <v>22</v>
      </c>
      <c r="M67" s="68">
        <f>5+9+14+22+28+41+43+66+68+99+100+100+141+211</f>
        <v>947</v>
      </c>
      <c r="N67" s="67">
        <v>14</v>
      </c>
      <c r="O67" s="67">
        <f t="shared" si="15"/>
        <v>1365</v>
      </c>
      <c r="P67" s="67">
        <f t="shared" si="16"/>
        <v>36</v>
      </c>
      <c r="Q67" s="79"/>
    </row>
    <row r="68" spans="1:17" ht="13.5" customHeight="1" x14ac:dyDescent="0.2">
      <c r="A68" s="66">
        <v>43602</v>
      </c>
      <c r="B68" s="68">
        <f>930+2+7+8+10+10+20+25</f>
        <v>1012</v>
      </c>
      <c r="C68" s="67">
        <v>8</v>
      </c>
      <c r="D68" s="68">
        <f>4+5+5+9+37+38+60+61+239+461</f>
        <v>919</v>
      </c>
      <c r="E68" s="67">
        <v>10</v>
      </c>
      <c r="F68" s="67">
        <f t="shared" si="13"/>
        <v>1931</v>
      </c>
      <c r="G68" s="67">
        <f t="shared" si="14"/>
        <v>18</v>
      </c>
      <c r="H68" s="79">
        <v>2</v>
      </c>
      <c r="J68" s="66">
        <v>43635</v>
      </c>
      <c r="K68" s="68">
        <f>533+400+73+65+4+6+7+7+19</f>
        <v>1114</v>
      </c>
      <c r="L68" s="67">
        <v>10</v>
      </c>
      <c r="M68" s="68">
        <f>3+3+6+6+9+10+11+17+21+52+61+70+80+120+193+232</f>
        <v>894</v>
      </c>
      <c r="N68" s="67">
        <v>16</v>
      </c>
      <c r="O68" s="67">
        <f t="shared" si="15"/>
        <v>2008</v>
      </c>
      <c r="P68" s="67">
        <f t="shared" si="16"/>
        <v>26</v>
      </c>
      <c r="Q68" s="79">
        <v>2</v>
      </c>
    </row>
    <row r="69" spans="1:17" ht="13.5" customHeight="1" x14ac:dyDescent="0.2">
      <c r="A69" s="66">
        <v>43605</v>
      </c>
      <c r="B69" s="68">
        <f>350+166+93+72+44+29+2+4+7+15+25</f>
        <v>807</v>
      </c>
      <c r="C69" s="67">
        <v>11</v>
      </c>
      <c r="D69" s="68">
        <f>4+6+8+12+12+18+20+26+29+44+47+62+67+88+117+161+475</f>
        <v>1196</v>
      </c>
      <c r="E69" s="67">
        <v>17</v>
      </c>
      <c r="F69" s="67">
        <f t="shared" si="13"/>
        <v>2003</v>
      </c>
      <c r="G69" s="67">
        <f t="shared" si="14"/>
        <v>28</v>
      </c>
      <c r="H69" s="79">
        <v>2</v>
      </c>
      <c r="J69" s="66">
        <v>43636</v>
      </c>
      <c r="K69" s="68">
        <f>2+3+10+10+10+12+13+16+17+25</f>
        <v>118</v>
      </c>
      <c r="L69" s="67">
        <v>10</v>
      </c>
      <c r="M69" s="68">
        <f>3+4+10+32+38+39+67+81+91+97+125+139+143+175+225</f>
        <v>1269</v>
      </c>
      <c r="N69" s="67">
        <v>15</v>
      </c>
      <c r="O69" s="67">
        <f t="shared" si="15"/>
        <v>1387</v>
      </c>
      <c r="P69" s="67">
        <f t="shared" si="16"/>
        <v>25</v>
      </c>
      <c r="Q69" s="79"/>
    </row>
    <row r="70" spans="1:17" ht="13.5" customHeight="1" x14ac:dyDescent="0.2">
      <c r="A70" s="66">
        <v>43606</v>
      </c>
      <c r="B70" s="68">
        <f>1+1+2+2+6+7+9+9+10+10+10+10+15+19+25+25</f>
        <v>161</v>
      </c>
      <c r="C70" s="67">
        <v>16</v>
      </c>
      <c r="D70" s="68">
        <f>3+13+64+68+94+143+188+200+410+24+98</f>
        <v>1305</v>
      </c>
      <c r="E70" s="67">
        <v>10</v>
      </c>
      <c r="F70" s="67">
        <f t="shared" si="13"/>
        <v>1466</v>
      </c>
      <c r="G70" s="67">
        <f t="shared" si="14"/>
        <v>26</v>
      </c>
      <c r="H70" s="79"/>
      <c r="J70" s="66">
        <v>43637</v>
      </c>
      <c r="K70" s="68">
        <f>424+90+60+20+1+5+5+6+8+12</f>
        <v>631</v>
      </c>
      <c r="L70" s="67">
        <v>10</v>
      </c>
      <c r="M70" s="68">
        <f>3+5+15+25+25+30+33+44+62+64+83+85+94+241+402+412</f>
        <v>1623</v>
      </c>
      <c r="N70" s="67">
        <v>16</v>
      </c>
      <c r="O70" s="67">
        <f t="shared" si="15"/>
        <v>2254</v>
      </c>
      <c r="P70" s="67">
        <f t="shared" si="16"/>
        <v>26</v>
      </c>
      <c r="Q70" s="79">
        <v>2</v>
      </c>
    </row>
    <row r="71" spans="1:17" ht="13.5" customHeight="1" x14ac:dyDescent="0.2">
      <c r="A71" s="66">
        <v>43607</v>
      </c>
      <c r="B71" s="68">
        <f>320+3+2+18+13+8+7+3+4+5+8+3</f>
        <v>394</v>
      </c>
      <c r="C71" s="67">
        <v>12</v>
      </c>
      <c r="D71" s="68">
        <f>94+37+30+3+25+49+410+1+98+2+27+26+6+32+98+76</f>
        <v>1014</v>
      </c>
      <c r="E71" s="67">
        <v>16</v>
      </c>
      <c r="F71" s="67">
        <f t="shared" si="13"/>
        <v>1408</v>
      </c>
      <c r="G71" s="67">
        <f t="shared" si="14"/>
        <v>28</v>
      </c>
      <c r="H71" s="79">
        <v>1</v>
      </c>
      <c r="J71" s="66">
        <v>43641</v>
      </c>
      <c r="K71" s="68">
        <f>3+3+5+6+6+7+10+15+20</f>
        <v>75</v>
      </c>
      <c r="L71" s="67">
        <v>9</v>
      </c>
      <c r="M71" s="68">
        <f>3+3+3+12+16+20+21+23+30+32+34+45+50+54+181+221+241</f>
        <v>989</v>
      </c>
      <c r="N71" s="67">
        <v>17</v>
      </c>
      <c r="O71" s="67">
        <f t="shared" si="15"/>
        <v>1064</v>
      </c>
      <c r="P71" s="67">
        <f t="shared" si="16"/>
        <v>26</v>
      </c>
      <c r="Q71" s="79"/>
    </row>
    <row r="72" spans="1:17" ht="13.5" customHeight="1" x14ac:dyDescent="0.2">
      <c r="A72" s="66">
        <v>43608</v>
      </c>
      <c r="B72" s="67">
        <f>933+19+5+12+25+3+10+16</f>
        <v>1023</v>
      </c>
      <c r="C72" s="67">
        <v>8</v>
      </c>
      <c r="D72" s="67">
        <f>58+70+2+50+14+9+12+30+140+22+1+403+15+169+11+48+131+287+235</f>
        <v>1707</v>
      </c>
      <c r="E72" s="67">
        <v>19</v>
      </c>
      <c r="F72" s="67">
        <f t="shared" si="13"/>
        <v>2730</v>
      </c>
      <c r="G72" s="67">
        <f t="shared" ref="G72" si="17">C72+E72</f>
        <v>27</v>
      </c>
      <c r="H72" s="101">
        <v>2</v>
      </c>
      <c r="J72" s="66">
        <v>43642</v>
      </c>
      <c r="K72" s="68">
        <f>400+90+85+56+45+6+7+9+25+25+25+25+25+25</f>
        <v>848</v>
      </c>
      <c r="L72" s="67">
        <v>14</v>
      </c>
      <c r="M72" s="68">
        <f>2+3+4+10+11+12+34+45+46+73+77+82+88+107+407</f>
        <v>1001</v>
      </c>
      <c r="N72" s="67">
        <v>15</v>
      </c>
      <c r="O72" s="67">
        <f t="shared" si="15"/>
        <v>1849</v>
      </c>
      <c r="P72" s="67">
        <f t="shared" si="16"/>
        <v>29</v>
      </c>
      <c r="Q72" s="79"/>
    </row>
    <row r="73" spans="1:17" ht="13.5" customHeight="1" x14ac:dyDescent="0.2">
      <c r="A73" s="66">
        <v>43609</v>
      </c>
      <c r="B73" s="67">
        <f>120+46+175+6+19+3+5+6+19+8+10+7+3</f>
        <v>427</v>
      </c>
      <c r="C73" s="67">
        <v>13</v>
      </c>
      <c r="D73" s="67">
        <f>6+12+3+20+37+69+4+32+50+171+1+49+3+38+56+2</f>
        <v>553</v>
      </c>
      <c r="E73" s="67">
        <v>16</v>
      </c>
      <c r="F73" s="67">
        <v>965</v>
      </c>
      <c r="G73" s="67">
        <f t="shared" si="14"/>
        <v>29</v>
      </c>
      <c r="H73" s="101"/>
      <c r="J73" s="66">
        <v>43643</v>
      </c>
      <c r="K73" s="68">
        <f>61+40+2+5+10+10+10+25+25</f>
        <v>188</v>
      </c>
      <c r="L73" s="67">
        <v>9</v>
      </c>
      <c r="M73" s="68">
        <f>1+3+10+10+24+24+31+52+61+68+69+70+91+101+109+116+156</f>
        <v>996</v>
      </c>
      <c r="N73" s="67">
        <v>17</v>
      </c>
      <c r="O73" s="67">
        <f t="shared" si="15"/>
        <v>1184</v>
      </c>
      <c r="P73" s="67">
        <f t="shared" si="16"/>
        <v>26</v>
      </c>
      <c r="Q73" s="79"/>
    </row>
    <row r="74" spans="1:17" ht="13.5" customHeight="1" x14ac:dyDescent="0.2">
      <c r="A74" s="66">
        <v>43612</v>
      </c>
      <c r="B74" s="67">
        <f>3+20+2+2+3+1+14+14+6</f>
        <v>65</v>
      </c>
      <c r="C74" s="67">
        <v>9</v>
      </c>
      <c r="D74" s="67">
        <f>5+2+789+2+5+82+8+8+345+24+3+115+16+23+1</f>
        <v>1428</v>
      </c>
      <c r="E74" s="67">
        <v>15</v>
      </c>
      <c r="F74" s="67">
        <f t="shared" si="13"/>
        <v>1493</v>
      </c>
      <c r="G74" s="67">
        <f t="shared" si="14"/>
        <v>24</v>
      </c>
      <c r="H74" s="101"/>
      <c r="J74" s="66">
        <v>43644</v>
      </c>
      <c r="K74" s="68">
        <f>675+193+20+10+19+20+20+20</f>
        <v>977</v>
      </c>
      <c r="L74" s="67">
        <v>8</v>
      </c>
      <c r="M74" s="68">
        <f>18+30+32+40+75+113+124+134</f>
        <v>566</v>
      </c>
      <c r="N74" s="67">
        <v>8</v>
      </c>
      <c r="O74" s="67">
        <f t="shared" si="15"/>
        <v>1543</v>
      </c>
      <c r="P74" s="67">
        <f t="shared" si="16"/>
        <v>16</v>
      </c>
      <c r="Q74" s="79"/>
    </row>
    <row r="75" spans="1:17" ht="13.5" customHeight="1" x14ac:dyDescent="0.2">
      <c r="A75" s="66">
        <v>43613</v>
      </c>
      <c r="B75" s="68">
        <f>170+53+1+1+3+6+10+16</f>
        <v>260</v>
      </c>
      <c r="C75" s="67">
        <v>8</v>
      </c>
      <c r="D75" s="68">
        <f>1+7+12+15+15+19+22+30+35+37+62+123+172+188</f>
        <v>738</v>
      </c>
      <c r="E75" s="67">
        <v>14</v>
      </c>
      <c r="F75" s="67">
        <f t="shared" si="13"/>
        <v>998</v>
      </c>
      <c r="G75" s="67">
        <f t="shared" si="14"/>
        <v>22</v>
      </c>
      <c r="H75" s="79"/>
    </row>
    <row r="76" spans="1:17" ht="13.5" customHeight="1" x14ac:dyDescent="0.2">
      <c r="A76" s="66">
        <v>43614</v>
      </c>
      <c r="B76" s="68">
        <f>20+130+1077+390+147+6+9+5+12+6+2</f>
        <v>1804</v>
      </c>
      <c r="C76" s="67">
        <v>11</v>
      </c>
      <c r="D76" s="68">
        <f>20+188+33+48+59+40+9+9+44+4+34+57+5+7+44+5+29+15+176+30+39+77+6+32</f>
        <v>1010</v>
      </c>
      <c r="E76" s="67">
        <v>24</v>
      </c>
      <c r="F76" s="67">
        <f t="shared" si="13"/>
        <v>2814</v>
      </c>
      <c r="G76" s="67">
        <f t="shared" si="14"/>
        <v>35</v>
      </c>
      <c r="H76" s="79"/>
    </row>
    <row r="77" spans="1:17" ht="13.5" customHeight="1" x14ac:dyDescent="0.2">
      <c r="A77" s="66">
        <v>43615</v>
      </c>
      <c r="B77" s="68">
        <f>586+203+45+1+4+5+8+10+13+13+14</f>
        <v>902</v>
      </c>
      <c r="C77" s="67">
        <v>11</v>
      </c>
      <c r="D77" s="68">
        <f>10+22+43+44+45+52+56+81+105+129+136+341+363</f>
        <v>1427</v>
      </c>
      <c r="E77" s="67">
        <v>13</v>
      </c>
      <c r="F77" s="67">
        <f t="shared" si="13"/>
        <v>2329</v>
      </c>
      <c r="G77" s="67">
        <f t="shared" si="14"/>
        <v>24</v>
      </c>
      <c r="H77" s="79"/>
    </row>
    <row r="78" spans="1:17" ht="13.5" customHeight="1" x14ac:dyDescent="0.2">
      <c r="A78" s="66">
        <v>43616</v>
      </c>
      <c r="B78" s="68">
        <f>220+116+80+76+13+2+9+20</f>
        <v>536</v>
      </c>
      <c r="C78" s="67">
        <v>8</v>
      </c>
      <c r="D78" s="68">
        <f>3+4+5+6+11+20+29+91+94+153+166+171+247</f>
        <v>1000</v>
      </c>
      <c r="E78" s="67">
        <v>13</v>
      </c>
      <c r="F78" s="67">
        <f t="shared" si="13"/>
        <v>1536</v>
      </c>
      <c r="G78" s="67">
        <f t="shared" si="14"/>
        <v>21</v>
      </c>
      <c r="H78" s="79"/>
    </row>
    <row r="79" spans="1:17" ht="13.5" customHeight="1" x14ac:dyDescent="0.2">
      <c r="A79" s="61"/>
      <c r="B79" s="62"/>
      <c r="C79" s="63"/>
      <c r="D79" s="62"/>
      <c r="E79" s="63"/>
      <c r="F79" s="63"/>
      <c r="G79" s="63"/>
    </row>
    <row r="80" spans="1:17" ht="13.5" customHeight="1" x14ac:dyDescent="0.2">
      <c r="A80" s="74" t="s">
        <v>6</v>
      </c>
      <c r="B80" s="71">
        <f t="shared" ref="B80:E80" si="18">SUM(B56:B79)</f>
        <v>14189</v>
      </c>
      <c r="C80" s="71">
        <f t="shared" si="18"/>
        <v>246</v>
      </c>
      <c r="D80" s="71">
        <f t="shared" si="18"/>
        <v>26042</v>
      </c>
      <c r="E80" s="71">
        <f t="shared" si="18"/>
        <v>318</v>
      </c>
      <c r="F80" s="71">
        <f>SUM(F57:F79)</f>
        <v>40216</v>
      </c>
      <c r="G80" s="71">
        <f t="shared" ref="G80:H80" si="19">SUM(G56:G79)</f>
        <v>564</v>
      </c>
      <c r="H80" s="71">
        <f t="shared" si="19"/>
        <v>11</v>
      </c>
      <c r="I80" s="78"/>
      <c r="J80" s="75" t="s">
        <v>6</v>
      </c>
      <c r="K80" s="71">
        <f t="shared" ref="K80:N80" si="20">SUM(K56:K79)</f>
        <v>19293</v>
      </c>
      <c r="L80" s="71">
        <f t="shared" si="20"/>
        <v>217</v>
      </c>
      <c r="M80" s="71">
        <f t="shared" si="20"/>
        <v>21370</v>
      </c>
      <c r="N80" s="71">
        <f t="shared" si="20"/>
        <v>312</v>
      </c>
      <c r="O80" s="71">
        <f>SUM(O57:O79)</f>
        <v>40663</v>
      </c>
      <c r="P80" s="71">
        <f t="shared" ref="P80:Q80" si="21">SUM(P56:P79)</f>
        <v>529</v>
      </c>
      <c r="Q80" s="71">
        <f t="shared" si="21"/>
        <v>21</v>
      </c>
    </row>
    <row r="81" spans="1:17" ht="13.5" customHeight="1" x14ac:dyDescent="0.2">
      <c r="A81" s="72"/>
      <c r="B81" s="72"/>
      <c r="C81" s="72"/>
      <c r="D81" s="72"/>
      <c r="E81" s="72"/>
      <c r="F81" s="73">
        <f>F80*55</f>
        <v>2211880</v>
      </c>
      <c r="G81" s="72"/>
      <c r="H81" s="78"/>
      <c r="I81" s="78"/>
      <c r="J81" s="72"/>
      <c r="K81" s="72"/>
      <c r="L81" s="72"/>
      <c r="M81" s="72"/>
      <c r="N81" s="72"/>
      <c r="O81" s="73">
        <f>O80*55</f>
        <v>2236465</v>
      </c>
      <c r="P81" s="72"/>
      <c r="Q81" s="78"/>
    </row>
    <row r="82" spans="1:17" ht="13.5" customHeight="1" x14ac:dyDescent="0.2"/>
    <row r="83" spans="1:17" ht="48" x14ac:dyDescent="0.2">
      <c r="A83" s="64" t="s">
        <v>101</v>
      </c>
      <c r="B83" s="65" t="s">
        <v>1</v>
      </c>
      <c r="C83" s="64" t="s">
        <v>2</v>
      </c>
      <c r="D83" s="65" t="s">
        <v>3</v>
      </c>
      <c r="E83" s="64" t="s">
        <v>2</v>
      </c>
      <c r="F83" s="65" t="s">
        <v>4</v>
      </c>
      <c r="G83" s="65" t="s">
        <v>5</v>
      </c>
      <c r="H83" s="65" t="s">
        <v>86</v>
      </c>
      <c r="J83" s="64" t="s">
        <v>102</v>
      </c>
      <c r="K83" s="65" t="s">
        <v>1</v>
      </c>
      <c r="L83" s="64" t="s">
        <v>2</v>
      </c>
      <c r="M83" s="65" t="s">
        <v>3</v>
      </c>
      <c r="N83" s="64" t="s">
        <v>2</v>
      </c>
      <c r="O83" s="65" t="s">
        <v>4</v>
      </c>
      <c r="P83" s="65" t="s">
        <v>5</v>
      </c>
      <c r="Q83" s="65" t="s">
        <v>86</v>
      </c>
    </row>
    <row r="84" spans="1:17" ht="13.5" customHeight="1" x14ac:dyDescent="0.2">
      <c r="A84" s="66">
        <v>43648</v>
      </c>
      <c r="B84" s="68">
        <f>360+6+10+10+18+19+20</f>
        <v>443</v>
      </c>
      <c r="C84" s="67">
        <v>7</v>
      </c>
      <c r="D84" s="68">
        <f>4+4+4+4+5+10+12+20+28+30+30+40+41+58+73+139+160+609</f>
        <v>1271</v>
      </c>
      <c r="E84" s="67">
        <v>18</v>
      </c>
      <c r="F84" s="67">
        <f t="shared" ref="F84:F101" si="22">B84+D84</f>
        <v>1714</v>
      </c>
      <c r="G84" s="67">
        <f t="shared" ref="G84:G106" si="23">C84+E84</f>
        <v>25</v>
      </c>
      <c r="H84" s="79">
        <v>2</v>
      </c>
      <c r="J84" s="66">
        <v>43678</v>
      </c>
      <c r="K84" s="104">
        <f>227+10+3+4</f>
        <v>244</v>
      </c>
      <c r="L84" s="104">
        <v>4</v>
      </c>
      <c r="M84" s="104">
        <f>5+1+8+196+19+2+4+2+18+170+4+56+16+5+1+4+15+2+10+3+14+33+140</f>
        <v>728</v>
      </c>
      <c r="N84" s="104">
        <v>23</v>
      </c>
      <c r="O84" s="104">
        <f>K84+M84</f>
        <v>972</v>
      </c>
      <c r="P84" s="104">
        <f t="shared" ref="P84:P103" si="24">L84+N84</f>
        <v>27</v>
      </c>
      <c r="Q84" s="79"/>
    </row>
    <row r="85" spans="1:17" ht="13.5" customHeight="1" x14ac:dyDescent="0.2">
      <c r="A85" s="66">
        <v>43649</v>
      </c>
      <c r="B85" s="68">
        <f>148+70+45+9+11+13</f>
        <v>296</v>
      </c>
      <c r="C85" s="67">
        <v>6</v>
      </c>
      <c r="D85" s="68">
        <f>2+5+8+9+16+36+36+44+51+56+58+99+127+129+287+332</f>
        <v>1295</v>
      </c>
      <c r="E85" s="67">
        <v>16</v>
      </c>
      <c r="F85" s="67">
        <f t="shared" si="22"/>
        <v>1591</v>
      </c>
      <c r="G85" s="67">
        <f t="shared" si="23"/>
        <v>22</v>
      </c>
      <c r="H85" s="79"/>
      <c r="J85" s="66">
        <v>43679</v>
      </c>
      <c r="K85" s="67">
        <f>76+10+3+13+12+12+15+6+26+26+26+26+26+26+26+3+5+8+1+2+2</f>
        <v>350</v>
      </c>
      <c r="L85" s="67">
        <v>21</v>
      </c>
      <c r="M85" s="67">
        <f>38+9+76+7+26+209+41+24+32+10+4+10+17+2</f>
        <v>505</v>
      </c>
      <c r="N85" s="67">
        <v>14</v>
      </c>
      <c r="O85" s="67">
        <f t="shared" ref="O85:O103" si="25">K85+M85</f>
        <v>855</v>
      </c>
      <c r="P85" s="67">
        <f t="shared" si="24"/>
        <v>35</v>
      </c>
      <c r="Q85" s="79"/>
    </row>
    <row r="86" spans="1:17" ht="13.5" customHeight="1" x14ac:dyDescent="0.2">
      <c r="A86" s="66">
        <v>43650</v>
      </c>
      <c r="B86" s="68">
        <f>300+86+66+60+47+2+8+10+11+12</f>
        <v>602</v>
      </c>
      <c r="C86" s="67">
        <v>10</v>
      </c>
      <c r="D86" s="68">
        <f>2+2+4+5+9+10+18+20+26+35+35+36+80+90+103+226+250</f>
        <v>951</v>
      </c>
      <c r="E86" s="67">
        <v>17</v>
      </c>
      <c r="F86" s="67">
        <f t="shared" si="22"/>
        <v>1553</v>
      </c>
      <c r="G86" s="67">
        <f t="shared" si="23"/>
        <v>27</v>
      </c>
      <c r="H86" s="79"/>
      <c r="J86" s="66">
        <v>43682</v>
      </c>
      <c r="K86" s="67">
        <f>46+83+84+70+166+12+9+4+9+26+3+3</f>
        <v>515</v>
      </c>
      <c r="L86" s="67">
        <v>12</v>
      </c>
      <c r="M86" s="67">
        <f>28+45+6+2+100+36+2+119+4+4+2+8+26+7+28+56+18+3+44+205+218</f>
        <v>961</v>
      </c>
      <c r="N86" s="67">
        <v>21</v>
      </c>
      <c r="O86" s="67">
        <f t="shared" si="25"/>
        <v>1476</v>
      </c>
      <c r="P86" s="67">
        <f t="shared" si="24"/>
        <v>33</v>
      </c>
      <c r="Q86" s="79"/>
    </row>
    <row r="87" spans="1:17" ht="13.5" customHeight="1" x14ac:dyDescent="0.2">
      <c r="A87" s="66">
        <v>43651</v>
      </c>
      <c r="B87" s="68">
        <f>400+160+140+100+66+45+2+2+3+7+9+9+12+12+15</f>
        <v>982</v>
      </c>
      <c r="C87" s="67">
        <v>15</v>
      </c>
      <c r="D87" s="68">
        <f>3+4+17+20+21+42+59+75+99+111+118+120+157+175+207</f>
        <v>1228</v>
      </c>
      <c r="E87" s="67">
        <v>15</v>
      </c>
      <c r="F87" s="67">
        <f t="shared" si="22"/>
        <v>2210</v>
      </c>
      <c r="G87" s="67">
        <f t="shared" si="23"/>
        <v>30</v>
      </c>
      <c r="H87" s="79">
        <v>2</v>
      </c>
      <c r="J87" s="66">
        <v>43683</v>
      </c>
      <c r="K87" s="68">
        <f>45+40+40+7+26+19+10+15+4+6+15+6+12+2</f>
        <v>247</v>
      </c>
      <c r="L87" s="67">
        <v>14</v>
      </c>
      <c r="M87" s="68">
        <f>155+4+1+2+3+36+98+12+201+112+58+37+240+256+48+3+36+6+22+153+10</f>
        <v>1493</v>
      </c>
      <c r="N87" s="67">
        <v>21</v>
      </c>
      <c r="O87" s="67">
        <f t="shared" si="25"/>
        <v>1740</v>
      </c>
      <c r="P87" s="67">
        <f t="shared" si="24"/>
        <v>35</v>
      </c>
      <c r="Q87" s="79"/>
    </row>
    <row r="88" spans="1:17" ht="13.5" customHeight="1" x14ac:dyDescent="0.2">
      <c r="A88" s="66">
        <v>43654</v>
      </c>
      <c r="B88" s="68">
        <f>234+48+27+4+5+5+6+7+8+8+10+10+15+19</f>
        <v>406</v>
      </c>
      <c r="C88" s="67">
        <v>14</v>
      </c>
      <c r="D88" s="68">
        <f>1+2+3+8+20+30+30+38+41+46+50+54+85+178+204+250+259</f>
        <v>1299</v>
      </c>
      <c r="E88" s="67">
        <v>17</v>
      </c>
      <c r="F88" s="67">
        <f t="shared" si="22"/>
        <v>1705</v>
      </c>
      <c r="G88" s="67">
        <f t="shared" si="23"/>
        <v>31</v>
      </c>
      <c r="H88" s="79"/>
      <c r="J88" s="66">
        <v>43685</v>
      </c>
      <c r="K88" s="68">
        <f>61+73+100+847+5+15+10+5+14+9+14+19+3+26+5+1</f>
        <v>1207</v>
      </c>
      <c r="L88" s="67">
        <v>16</v>
      </c>
      <c r="M88" s="68">
        <f>41+18+43+10+1+2+209+30+5+32+20+54+36+17+2+365+42+2+89+263+229+6</f>
        <v>1516</v>
      </c>
      <c r="N88" s="67">
        <v>22</v>
      </c>
      <c r="O88" s="67">
        <f t="shared" si="25"/>
        <v>2723</v>
      </c>
      <c r="P88" s="67">
        <f t="shared" si="24"/>
        <v>38</v>
      </c>
      <c r="Q88" s="79"/>
    </row>
    <row r="89" spans="1:17" ht="13.5" customHeight="1" x14ac:dyDescent="0.2">
      <c r="A89" s="66">
        <v>43655</v>
      </c>
      <c r="B89" s="68">
        <f>8+9+9+11+12+25</f>
        <v>74</v>
      </c>
      <c r="C89" s="67">
        <v>6</v>
      </c>
      <c r="D89" s="68">
        <f>3+3+4+6+13+27+38+49+90+100+142+176+201+269+307+404</f>
        <v>1832</v>
      </c>
      <c r="E89" s="67">
        <v>16</v>
      </c>
      <c r="F89" s="67">
        <f t="shared" si="22"/>
        <v>1906</v>
      </c>
      <c r="G89" s="67">
        <f t="shared" si="23"/>
        <v>22</v>
      </c>
      <c r="H89" s="79">
        <v>1</v>
      </c>
      <c r="J89" s="66">
        <v>43686</v>
      </c>
      <c r="K89" s="68">
        <f>116+47+100+100+83+240+30+10+15+6+20+26+2+15+11+2+15</f>
        <v>838</v>
      </c>
      <c r="L89" s="67">
        <v>17</v>
      </c>
      <c r="M89" s="68">
        <f>4+1+2+12+28+42+2+71+118+17+11+19+25+46+90+48+27+52</f>
        <v>615</v>
      </c>
      <c r="N89" s="67">
        <v>18</v>
      </c>
      <c r="O89" s="67">
        <f t="shared" si="25"/>
        <v>1453</v>
      </c>
      <c r="P89" s="67">
        <f t="shared" si="24"/>
        <v>35</v>
      </c>
      <c r="Q89" s="79"/>
    </row>
    <row r="90" spans="1:17" ht="13.5" customHeight="1" x14ac:dyDescent="0.2">
      <c r="A90" s="66">
        <v>43656</v>
      </c>
      <c r="B90" s="68">
        <f>250+1+8+15</f>
        <v>274</v>
      </c>
      <c r="C90" s="67">
        <v>3</v>
      </c>
      <c r="D90" s="68">
        <f>2+6+6+12+15+22+24+26+26+33+58+62+68+80+86+91+109+154+161+191+540</f>
        <v>1772</v>
      </c>
      <c r="E90" s="67">
        <v>21</v>
      </c>
      <c r="F90" s="67">
        <f t="shared" si="22"/>
        <v>2046</v>
      </c>
      <c r="G90" s="67">
        <f t="shared" si="23"/>
        <v>24</v>
      </c>
      <c r="H90" s="79"/>
      <c r="J90" s="66">
        <v>43689</v>
      </c>
      <c r="K90" s="68">
        <f>35+1333+40+9+10+7+2+10+10+9</f>
        <v>1465</v>
      </c>
      <c r="L90" s="67">
        <v>10</v>
      </c>
      <c r="M90" s="68">
        <f>318+158+4+10+9+532+4+4+4+16+23+12+120+1+58+10+258+5+311+78+50+21</f>
        <v>2006</v>
      </c>
      <c r="N90" s="67">
        <v>22</v>
      </c>
      <c r="O90" s="67">
        <f t="shared" si="25"/>
        <v>3471</v>
      </c>
      <c r="P90" s="67">
        <f t="shared" si="24"/>
        <v>32</v>
      </c>
      <c r="Q90" s="79">
        <f>3+1</f>
        <v>4</v>
      </c>
    </row>
    <row r="91" spans="1:17" ht="13.5" customHeight="1" x14ac:dyDescent="0.2">
      <c r="A91" s="66">
        <v>43657</v>
      </c>
      <c r="B91" s="68">
        <f>610+126+60+1+3+3+5+5+6+9+10</f>
        <v>838</v>
      </c>
      <c r="C91" s="67">
        <v>11</v>
      </c>
      <c r="D91" s="68">
        <f>3+3+11+12+13+14+17+19+26+29+32+33+33+42+44+88+99+100+154+471</f>
        <v>1243</v>
      </c>
      <c r="E91" s="67">
        <v>20</v>
      </c>
      <c r="F91" s="67">
        <f t="shared" si="22"/>
        <v>2081</v>
      </c>
      <c r="G91" s="67">
        <f t="shared" si="23"/>
        <v>31</v>
      </c>
      <c r="H91" s="79">
        <v>1</v>
      </c>
      <c r="J91" s="66">
        <v>43690</v>
      </c>
      <c r="K91" s="68">
        <f>452+54+60+8+6+3+9</f>
        <v>592</v>
      </c>
      <c r="L91" s="67">
        <v>7</v>
      </c>
      <c r="M91" s="68">
        <f>10+1+59+23+57+19+16+18+96+4+28+9+3+90+2+8+14+76+11+4+1+8+6+39+78+8+20+30+5</f>
        <v>743</v>
      </c>
      <c r="N91" s="67">
        <v>29</v>
      </c>
      <c r="O91" s="67">
        <f t="shared" si="25"/>
        <v>1335</v>
      </c>
      <c r="P91" s="67">
        <f t="shared" si="24"/>
        <v>36</v>
      </c>
      <c r="Q91" s="79"/>
    </row>
    <row r="92" spans="1:17" ht="13.5" customHeight="1" x14ac:dyDescent="0.2">
      <c r="A92" s="66">
        <v>43658</v>
      </c>
      <c r="B92" s="68">
        <f>327+206+190+150+143+126+94+80+45+6+4+5+7+9+13+14</f>
        <v>1419</v>
      </c>
      <c r="C92" s="67">
        <v>16</v>
      </c>
      <c r="D92" s="62">
        <f>1+3+6+6+10+13+34+35+37+38+43+48+51+56+67+92+143+232+255+343</f>
        <v>1513</v>
      </c>
      <c r="E92" s="67">
        <v>20</v>
      </c>
      <c r="F92" s="67">
        <f t="shared" si="22"/>
        <v>2932</v>
      </c>
      <c r="G92" s="67">
        <f t="shared" si="23"/>
        <v>36</v>
      </c>
      <c r="H92" s="79">
        <v>1</v>
      </c>
      <c r="J92" s="66">
        <v>43691</v>
      </c>
      <c r="K92" s="68">
        <f>85+45+196+237+2+5+6+5+2+7+16+16+18+19+4+11</f>
        <v>674</v>
      </c>
      <c r="L92" s="67">
        <v>16</v>
      </c>
      <c r="M92" s="62">
        <f>83+13+3+46+8+6+87+3+17+7+19+1+13+40+5+363+68+4+28+604+2</f>
        <v>1420</v>
      </c>
      <c r="N92" s="67">
        <v>21</v>
      </c>
      <c r="O92" s="67">
        <f t="shared" si="25"/>
        <v>2094</v>
      </c>
      <c r="P92" s="67">
        <f t="shared" si="24"/>
        <v>37</v>
      </c>
      <c r="Q92" s="79"/>
    </row>
    <row r="93" spans="1:17" ht="13.5" customHeight="1" x14ac:dyDescent="0.2">
      <c r="A93" s="66">
        <v>43661</v>
      </c>
      <c r="B93" s="68">
        <f>181+70+57+5+5+10+12+16+26+26</f>
        <v>408</v>
      </c>
      <c r="C93" s="67">
        <v>10</v>
      </c>
      <c r="D93" s="68">
        <f>2+3+3+3+5+6+9+10+11+12+12+12+14+26+29+45+73+114</f>
        <v>389</v>
      </c>
      <c r="E93" s="67">
        <v>18</v>
      </c>
      <c r="F93" s="67">
        <f t="shared" si="22"/>
        <v>797</v>
      </c>
      <c r="G93" s="67">
        <f t="shared" si="23"/>
        <v>28</v>
      </c>
      <c r="H93" s="79">
        <v>2</v>
      </c>
      <c r="J93" s="66">
        <v>43692</v>
      </c>
      <c r="K93" s="68">
        <f>110+25+120+10+4+15+2+12+4</f>
        <v>302</v>
      </c>
      <c r="L93" s="67">
        <v>9</v>
      </c>
      <c r="M93" s="68">
        <f>10+48+185+22+347+206+15+8+129+2+2+35+4+6+3+20+3+97+18+15</f>
        <v>1175</v>
      </c>
      <c r="N93" s="67">
        <v>20</v>
      </c>
      <c r="O93" s="67">
        <f t="shared" si="25"/>
        <v>1477</v>
      </c>
      <c r="P93" s="67">
        <f t="shared" si="24"/>
        <v>29</v>
      </c>
      <c r="Q93" s="79">
        <v>1</v>
      </c>
    </row>
    <row r="94" spans="1:17" ht="13.5" customHeight="1" x14ac:dyDescent="0.2">
      <c r="A94" s="66">
        <v>43662</v>
      </c>
      <c r="B94" s="67">
        <f>1533+206+3+3+9+10+19</f>
        <v>1783</v>
      </c>
      <c r="C94" s="67">
        <v>7</v>
      </c>
      <c r="D94" s="67">
        <f>3+4+8+19+29+61+71+76+83+89+104+127+128+192+223+306+514</f>
        <v>2037</v>
      </c>
      <c r="E94" s="67">
        <v>17</v>
      </c>
      <c r="F94" s="67">
        <f t="shared" si="22"/>
        <v>3820</v>
      </c>
      <c r="G94" s="67">
        <f t="shared" si="23"/>
        <v>24</v>
      </c>
      <c r="H94" s="101"/>
      <c r="J94" s="66">
        <v>43693</v>
      </c>
      <c r="K94" s="67">
        <f>333+143+520+433+7+6</f>
        <v>1442</v>
      </c>
      <c r="L94" s="67">
        <v>6</v>
      </c>
      <c r="M94" s="67">
        <f>1+3+46+44+58+6+2+4+36+51+269+2+3+2+102+2+5+31+6+3+14+10+6+34+30</f>
        <v>770</v>
      </c>
      <c r="N94" s="67">
        <v>25</v>
      </c>
      <c r="O94" s="67">
        <f t="shared" si="25"/>
        <v>2212</v>
      </c>
      <c r="P94" s="67">
        <f t="shared" si="24"/>
        <v>31</v>
      </c>
      <c r="Q94" s="101">
        <v>4</v>
      </c>
    </row>
    <row r="95" spans="1:17" ht="13.5" customHeight="1" x14ac:dyDescent="0.2">
      <c r="A95" s="66">
        <v>43663</v>
      </c>
      <c r="B95" s="68">
        <f>79+76+30+9+9+25</f>
        <v>228</v>
      </c>
      <c r="C95" s="67">
        <v>6</v>
      </c>
      <c r="D95" s="68">
        <f>1+3+9+13+17+28+56+66+78+82+101+145+793</f>
        <v>1392</v>
      </c>
      <c r="E95" s="67">
        <v>13</v>
      </c>
      <c r="F95" s="67">
        <f t="shared" si="22"/>
        <v>1620</v>
      </c>
      <c r="G95" s="67">
        <f t="shared" si="23"/>
        <v>19</v>
      </c>
      <c r="H95" s="79">
        <v>1</v>
      </c>
      <c r="J95" s="66">
        <v>43697</v>
      </c>
      <c r="K95" s="68">
        <f>64+33+75+62+2</f>
        <v>236</v>
      </c>
      <c r="L95" s="67">
        <v>5</v>
      </c>
      <c r="M95" s="68">
        <f>159+8+20+2+25+5+30+7+11+2+4+14+119+13+8+21+2+48+1+26+35+61+3+1+20+84+75+50+222+20+78+19</f>
        <v>1193</v>
      </c>
      <c r="N95" s="67">
        <v>32</v>
      </c>
      <c r="O95" s="67">
        <f t="shared" si="25"/>
        <v>1429</v>
      </c>
      <c r="P95" s="67">
        <f t="shared" si="24"/>
        <v>37</v>
      </c>
      <c r="Q95" s="79">
        <v>2</v>
      </c>
    </row>
    <row r="96" spans="1:17" ht="13.5" customHeight="1" x14ac:dyDescent="0.2">
      <c r="A96" s="66">
        <v>43664</v>
      </c>
      <c r="B96" s="68">
        <f>160+120+34+4+4+5+6+7+8+14+17+17+22</f>
        <v>418</v>
      </c>
      <c r="C96" s="67">
        <v>13</v>
      </c>
      <c r="D96" s="68">
        <f>2+4+13+19+20+32+47+51+53+86+114+142+151+164+270+359</f>
        <v>1527</v>
      </c>
      <c r="E96" s="67">
        <v>16</v>
      </c>
      <c r="F96" s="67">
        <f t="shared" si="22"/>
        <v>1945</v>
      </c>
      <c r="G96" s="67">
        <f t="shared" si="23"/>
        <v>29</v>
      </c>
      <c r="H96" s="79"/>
      <c r="J96" s="66">
        <v>43698</v>
      </c>
      <c r="K96" s="68">
        <f>350+757+80+473+3000+2+4+2+12</f>
        <v>4680</v>
      </c>
      <c r="L96" s="67">
        <v>9</v>
      </c>
      <c r="M96" s="68">
        <f>25+50+3+3+2+14+6+66+8+390+6+24+6+2+12+9+17+2+12+1+3+9+58+231</f>
        <v>959</v>
      </c>
      <c r="N96" s="67">
        <v>24</v>
      </c>
      <c r="O96" s="67">
        <f t="shared" si="25"/>
        <v>5639</v>
      </c>
      <c r="P96" s="67">
        <f t="shared" si="24"/>
        <v>33</v>
      </c>
      <c r="Q96" s="79">
        <f>3+2</f>
        <v>5</v>
      </c>
    </row>
    <row r="97" spans="1:18" ht="13.5" customHeight="1" x14ac:dyDescent="0.2">
      <c r="A97" s="66">
        <v>43665</v>
      </c>
      <c r="B97" s="68">
        <f>83+10+15</f>
        <v>108</v>
      </c>
      <c r="C97" s="67">
        <v>3</v>
      </c>
      <c r="D97" s="68">
        <f>34+2+11+7+1+12+268+144+117+102+7+74+15+36+121</f>
        <v>951</v>
      </c>
      <c r="E97" s="67">
        <v>15</v>
      </c>
      <c r="F97" s="67">
        <f t="shared" si="22"/>
        <v>1059</v>
      </c>
      <c r="G97" s="67">
        <f t="shared" si="23"/>
        <v>18</v>
      </c>
      <c r="H97" s="79"/>
      <c r="J97" s="66">
        <v>43699</v>
      </c>
      <c r="K97" s="68">
        <f>1080+70+400+220+220+30+133+46+87+133+203+85+10+6+4+5+12+21</f>
        <v>2765</v>
      </c>
      <c r="L97" s="67">
        <v>18</v>
      </c>
      <c r="M97" s="68">
        <f>85+51+8+22+66+5+6+195+22+200+20+643+8+326+13+5+22+120+105</f>
        <v>1922</v>
      </c>
      <c r="N97" s="67">
        <v>19</v>
      </c>
      <c r="O97" s="67">
        <f t="shared" si="25"/>
        <v>4687</v>
      </c>
      <c r="P97" s="67">
        <f t="shared" si="24"/>
        <v>37</v>
      </c>
      <c r="Q97" s="79">
        <f>2+2</f>
        <v>4</v>
      </c>
    </row>
    <row r="98" spans="1:18" ht="13.5" customHeight="1" x14ac:dyDescent="0.2">
      <c r="A98" s="66">
        <v>43668</v>
      </c>
      <c r="B98" s="68">
        <f>350+12+13+10+12+7+7+7+10+15</f>
        <v>443</v>
      </c>
      <c r="C98" s="67">
        <v>10</v>
      </c>
      <c r="D98" s="68">
        <f>32+15+33+2+2+121+159+5+3+19+61+52+203+114+19+34+25+40+48+500+15+2+4+1+8+8+210</f>
        <v>1735</v>
      </c>
      <c r="E98" s="67">
        <v>27</v>
      </c>
      <c r="F98" s="67">
        <f t="shared" si="22"/>
        <v>2178</v>
      </c>
      <c r="G98" s="67">
        <f t="shared" si="23"/>
        <v>37</v>
      </c>
      <c r="H98" s="79"/>
      <c r="J98" s="66">
        <v>43700</v>
      </c>
      <c r="K98" s="68">
        <f>316+120+80+106+80+150+5+22+12+2</f>
        <v>893</v>
      </c>
      <c r="L98" s="67">
        <v>10</v>
      </c>
      <c r="M98" s="68">
        <f>22+155+4+194+97+22+12+4+2+28+21+41+24+2+2+28+6+40+36+6+8+66+101+98+12</f>
        <v>1031</v>
      </c>
      <c r="N98" s="67">
        <v>25</v>
      </c>
      <c r="O98" s="67">
        <f t="shared" si="25"/>
        <v>1924</v>
      </c>
      <c r="P98" s="67">
        <f t="shared" si="24"/>
        <v>35</v>
      </c>
      <c r="Q98" s="79"/>
    </row>
    <row r="99" spans="1:18" ht="13.5" customHeight="1" x14ac:dyDescent="0.2">
      <c r="A99" s="66">
        <v>43669</v>
      </c>
      <c r="B99" s="68">
        <f>80+363+2+26+3+2+3+2+16+10+19+5+4+1+8+8</f>
        <v>552</v>
      </c>
      <c r="C99" s="67">
        <v>16</v>
      </c>
      <c r="D99" s="68">
        <f>40+15+26+4+39+6+118+122+23+8+2+14+50+4+101+19+26+62+10+467+101+245+117</f>
        <v>1619</v>
      </c>
      <c r="E99" s="67">
        <v>23</v>
      </c>
      <c r="F99" s="67">
        <f t="shared" si="22"/>
        <v>2171</v>
      </c>
      <c r="G99" s="67">
        <f t="shared" si="23"/>
        <v>39</v>
      </c>
      <c r="H99" s="79">
        <v>1</v>
      </c>
      <c r="J99" s="66">
        <v>43703</v>
      </c>
      <c r="K99" s="68">
        <f>1346+24+120+25+26+1+2</f>
        <v>1544</v>
      </c>
      <c r="L99" s="67">
        <v>7</v>
      </c>
      <c r="M99" s="68">
        <f>180+5+30+151+15+88+16+48+165+250+3+9+4+456+3+14+6+126+168+2+5+436+6+188+5</f>
        <v>2379</v>
      </c>
      <c r="N99" s="67">
        <v>25</v>
      </c>
      <c r="O99" s="67">
        <f t="shared" si="25"/>
        <v>3923</v>
      </c>
      <c r="P99" s="67">
        <f t="shared" si="24"/>
        <v>32</v>
      </c>
      <c r="Q99" s="79">
        <v>2</v>
      </c>
    </row>
    <row r="100" spans="1:18" ht="13.5" customHeight="1" x14ac:dyDescent="0.2">
      <c r="A100" s="66">
        <v>43670</v>
      </c>
      <c r="B100" s="67">
        <f>133+333+77+45+6+4+19+14+14+10+5+18+1</f>
        <v>679</v>
      </c>
      <c r="C100" s="67">
        <v>13</v>
      </c>
      <c r="D100" s="67">
        <f>4+21+2+15+2+34+190+20+4+45+8+4+36+207+8+10+21+70+22+196+34+257+200</f>
        <v>1410</v>
      </c>
      <c r="E100" s="67">
        <v>23</v>
      </c>
      <c r="F100" s="67">
        <f t="shared" si="22"/>
        <v>2089</v>
      </c>
      <c r="G100" s="67">
        <f t="shared" si="23"/>
        <v>36</v>
      </c>
      <c r="H100" s="101">
        <v>1</v>
      </c>
      <c r="J100" s="66">
        <v>43704</v>
      </c>
      <c r="K100" s="67">
        <f>50+66+95+45+4+5+19+13+8+19+14+26+8</f>
        <v>372</v>
      </c>
      <c r="L100" s="67">
        <v>13</v>
      </c>
      <c r="M100" s="67">
        <f>11+2+8+7+109+324+33+42+50+440+16+6+14+441+16+24+148+7+30+20+95+40+11+50+7+40+41+8+216+2+19+4+4+78+56+65+285+398+415</f>
        <v>3582</v>
      </c>
      <c r="N100" s="67">
        <v>39</v>
      </c>
      <c r="O100" s="67">
        <f t="shared" si="25"/>
        <v>3954</v>
      </c>
      <c r="P100" s="67">
        <f t="shared" si="24"/>
        <v>52</v>
      </c>
      <c r="Q100" s="101"/>
    </row>
    <row r="101" spans="1:18" ht="13.5" customHeight="1" x14ac:dyDescent="0.2">
      <c r="A101" s="66">
        <v>43671</v>
      </c>
      <c r="B101" s="68">
        <f>4+7+12+13+6+16+11</f>
        <v>69</v>
      </c>
      <c r="C101" s="67">
        <v>7</v>
      </c>
      <c r="D101" s="68">
        <f>4+36+48+3+26+111+41+6+14+35+50+107+11+70+72+610+2+2+3</f>
        <v>1251</v>
      </c>
      <c r="E101" s="67">
        <v>19</v>
      </c>
      <c r="F101" s="67">
        <f t="shared" si="22"/>
        <v>1320</v>
      </c>
      <c r="G101" s="67">
        <f t="shared" si="23"/>
        <v>26</v>
      </c>
      <c r="H101" s="79">
        <v>1</v>
      </c>
      <c r="J101" s="66">
        <v>43705</v>
      </c>
      <c r="K101" s="68">
        <f>200+113+50+2+9+5+4+2+4+6+3+4</f>
        <v>402</v>
      </c>
      <c r="L101" s="67">
        <v>12</v>
      </c>
      <c r="M101" s="68">
        <f>47+4+1+11+73+31+54+690+7+3+216+1+56+4+16+24+78+5+2+80+1+30+2+718+22+82</f>
        <v>2258</v>
      </c>
      <c r="N101" s="67">
        <v>26</v>
      </c>
      <c r="O101" s="67">
        <f t="shared" si="25"/>
        <v>2660</v>
      </c>
      <c r="P101" s="67">
        <f t="shared" si="24"/>
        <v>38</v>
      </c>
      <c r="Q101" s="79"/>
    </row>
    <row r="102" spans="1:18" ht="13.5" customHeight="1" x14ac:dyDescent="0.2">
      <c r="A102" s="66">
        <v>43672</v>
      </c>
      <c r="B102" s="68">
        <f>170+80+40+2+1+4+3+8+6</f>
        <v>314</v>
      </c>
      <c r="C102" s="67">
        <v>9</v>
      </c>
      <c r="D102" s="68">
        <f>40+60+105+1+72+5+5+3+3+33+171+111+1+55+32+26+76+176+38+23</f>
        <v>1036</v>
      </c>
      <c r="E102" s="67">
        <v>20</v>
      </c>
      <c r="F102" s="67">
        <f t="shared" ref="F102:F106" si="26">B102+D102</f>
        <v>1350</v>
      </c>
      <c r="G102" s="67">
        <f t="shared" si="23"/>
        <v>29</v>
      </c>
      <c r="H102" s="79">
        <v>1</v>
      </c>
      <c r="J102" s="66">
        <v>43706</v>
      </c>
      <c r="K102" s="68">
        <f>4+3+4+9+10</f>
        <v>30</v>
      </c>
      <c r="L102" s="67">
        <v>5</v>
      </c>
      <c r="M102" s="68">
        <f>4+42+19+46+13+29+2+8+56+22+4+29+155+4+2+5+1+77+8</f>
        <v>526</v>
      </c>
      <c r="N102" s="67">
        <v>19</v>
      </c>
      <c r="O102" s="67">
        <f t="shared" si="25"/>
        <v>556</v>
      </c>
      <c r="P102" s="67">
        <f t="shared" si="24"/>
        <v>24</v>
      </c>
      <c r="Q102" s="79"/>
    </row>
    <row r="103" spans="1:18" ht="13.5" customHeight="1" x14ac:dyDescent="0.2">
      <c r="A103" s="66">
        <v>43675</v>
      </c>
      <c r="B103" s="68">
        <f>472+455+67+46+131+4+17+15+6</f>
        <v>1213</v>
      </c>
      <c r="C103" s="67">
        <v>9</v>
      </c>
      <c r="D103" s="68">
        <f>8+20+6+8+1+17+7+35+13+8+15+26+60+5+8+5+13+1+69+54+272+100</f>
        <v>751</v>
      </c>
      <c r="E103" s="67">
        <v>22</v>
      </c>
      <c r="F103" s="67">
        <f t="shared" si="26"/>
        <v>1964</v>
      </c>
      <c r="G103" s="67">
        <f t="shared" si="23"/>
        <v>31</v>
      </c>
      <c r="H103" s="79">
        <v>2</v>
      </c>
      <c r="J103" s="66">
        <v>43707</v>
      </c>
      <c r="K103" s="68">
        <f>28+1000+5+5+2+4+18+3+19+3+2+19</f>
        <v>1108</v>
      </c>
      <c r="L103" s="67">
        <v>12</v>
      </c>
      <c r="M103" s="68">
        <f>4+23+14+32+36+17+2+13+5+24+13+78+3+4+10+46+6+13+580+10</f>
        <v>933</v>
      </c>
      <c r="N103" s="67">
        <v>20</v>
      </c>
      <c r="O103" s="67">
        <f t="shared" si="25"/>
        <v>2041</v>
      </c>
      <c r="P103" s="67">
        <f t="shared" si="24"/>
        <v>32</v>
      </c>
      <c r="Q103" s="79"/>
    </row>
    <row r="104" spans="1:18" ht="13.5" customHeight="1" x14ac:dyDescent="0.2">
      <c r="A104" s="66">
        <v>43676</v>
      </c>
      <c r="B104" s="68">
        <f>63+630+330+7</f>
        <v>1030</v>
      </c>
      <c r="C104" s="67">
        <v>4</v>
      </c>
      <c r="D104" s="68">
        <f>7+1+94+2+277+1+45+4+13+70+3+16+1+68+86+3+28+20+38+2+39+40+26+4+23+65</f>
        <v>976</v>
      </c>
      <c r="E104" s="67">
        <v>26</v>
      </c>
      <c r="F104" s="67">
        <f t="shared" si="26"/>
        <v>2006</v>
      </c>
      <c r="G104" s="67">
        <f t="shared" si="23"/>
        <v>30</v>
      </c>
      <c r="H104" s="79">
        <v>3</v>
      </c>
      <c r="J104" s="66"/>
      <c r="K104" s="68"/>
      <c r="L104" s="67"/>
      <c r="M104" s="68"/>
      <c r="N104" s="67"/>
      <c r="O104" s="67"/>
      <c r="P104" s="67"/>
      <c r="Q104" s="79"/>
    </row>
    <row r="105" spans="1:18" ht="13.5" customHeight="1" x14ac:dyDescent="0.2">
      <c r="A105" s="66">
        <v>43677</v>
      </c>
      <c r="B105" s="68">
        <f>44+45+1171+45+45+45+3+7+5</f>
        <v>1410</v>
      </c>
      <c r="C105" s="67">
        <v>9</v>
      </c>
      <c r="D105" s="68">
        <f>9+3+20+1740+12+29+24+59+78+2+107+15+217+39+4+547+143+77+4+44+55+140+86</f>
        <v>3454</v>
      </c>
      <c r="E105" s="67">
        <v>23</v>
      </c>
      <c r="F105" s="67">
        <f t="shared" si="26"/>
        <v>4864</v>
      </c>
      <c r="G105" s="67">
        <f t="shared" si="23"/>
        <v>32</v>
      </c>
      <c r="H105" s="79">
        <v>3</v>
      </c>
      <c r="J105" s="66"/>
      <c r="K105" s="68"/>
      <c r="L105" s="67"/>
      <c r="M105" s="68"/>
      <c r="N105" s="67"/>
      <c r="O105" s="67"/>
      <c r="P105" s="67"/>
      <c r="Q105" s="79"/>
    </row>
    <row r="106" spans="1:18" x14ac:dyDescent="0.2">
      <c r="A106" s="66"/>
      <c r="B106" s="68"/>
      <c r="C106" s="67"/>
      <c r="D106" s="68"/>
      <c r="E106" s="67"/>
      <c r="F106" s="67">
        <f t="shared" si="26"/>
        <v>0</v>
      </c>
      <c r="G106" s="67">
        <f t="shared" si="23"/>
        <v>0</v>
      </c>
      <c r="H106" s="79"/>
      <c r="J106" s="66"/>
      <c r="K106" s="68"/>
      <c r="L106" s="67"/>
      <c r="M106" s="68"/>
      <c r="N106" s="67"/>
      <c r="O106" s="67"/>
      <c r="P106" s="67"/>
      <c r="Q106" s="79"/>
    </row>
    <row r="107" spans="1:18" x14ac:dyDescent="0.2">
      <c r="A107" s="61"/>
      <c r="B107" s="62"/>
      <c r="C107" s="63"/>
      <c r="D107" s="62"/>
      <c r="E107" s="63"/>
      <c r="F107" s="63"/>
      <c r="G107" s="63"/>
      <c r="J107" s="61"/>
      <c r="K107" s="62"/>
      <c r="L107" s="63"/>
      <c r="M107" s="62"/>
      <c r="N107" s="63"/>
      <c r="O107" s="63"/>
      <c r="P107" s="63"/>
    </row>
    <row r="108" spans="1:18" x14ac:dyDescent="0.2">
      <c r="A108" s="74" t="s">
        <v>6</v>
      </c>
      <c r="B108" s="71">
        <f t="shared" ref="B108:E108" si="27">SUM(B83:B107)</f>
        <v>13989</v>
      </c>
      <c r="C108" s="71">
        <f t="shared" si="27"/>
        <v>204</v>
      </c>
      <c r="D108" s="71">
        <f t="shared" si="27"/>
        <v>30932</v>
      </c>
      <c r="E108" s="71">
        <f t="shared" si="27"/>
        <v>422</v>
      </c>
      <c r="F108" s="71">
        <f>SUM(F84:F107)</f>
        <v>44921</v>
      </c>
      <c r="G108" s="71">
        <f t="shared" ref="G108:H108" si="28">SUM(G83:G107)</f>
        <v>626</v>
      </c>
      <c r="H108" s="71">
        <f t="shared" si="28"/>
        <v>22</v>
      </c>
      <c r="J108" s="74" t="s">
        <v>6</v>
      </c>
      <c r="K108" s="71">
        <f t="shared" ref="K108:N108" si="29">SUM(K83:K107)</f>
        <v>19906</v>
      </c>
      <c r="L108" s="71">
        <f t="shared" si="29"/>
        <v>223</v>
      </c>
      <c r="M108" s="71">
        <f t="shared" si="29"/>
        <v>26715</v>
      </c>
      <c r="N108" s="71">
        <f t="shared" si="29"/>
        <v>465</v>
      </c>
      <c r="O108" s="71">
        <f>SUM(O84:O107)</f>
        <v>46621</v>
      </c>
      <c r="P108" s="71">
        <f t="shared" ref="P108:Q108" si="30">SUM(P83:P107)</f>
        <v>688</v>
      </c>
      <c r="Q108" s="71">
        <f t="shared" si="30"/>
        <v>22</v>
      </c>
      <c r="R108" s="60">
        <f>+K108/500</f>
        <v>39.811999999999998</v>
      </c>
    </row>
    <row r="109" spans="1:18" x14ac:dyDescent="0.2">
      <c r="A109" s="72"/>
      <c r="B109" s="72"/>
      <c r="C109" s="72"/>
      <c r="D109" s="72"/>
      <c r="E109" s="72"/>
      <c r="F109" s="73">
        <f>F108*55</f>
        <v>2470655</v>
      </c>
      <c r="G109" s="72"/>
      <c r="H109" s="78"/>
      <c r="J109" s="72"/>
      <c r="K109" s="72"/>
      <c r="L109" s="72"/>
      <c r="M109" s="72"/>
      <c r="N109" s="72"/>
      <c r="O109" s="73">
        <f>O108*55</f>
        <v>2564155</v>
      </c>
      <c r="P109" s="72"/>
      <c r="Q109" s="78"/>
    </row>
    <row r="111" spans="1:18" ht="48" x14ac:dyDescent="0.2">
      <c r="A111" s="64" t="s">
        <v>109</v>
      </c>
      <c r="B111" s="65" t="s">
        <v>1</v>
      </c>
      <c r="C111" s="64" t="s">
        <v>2</v>
      </c>
      <c r="D111" s="65" t="s">
        <v>3</v>
      </c>
      <c r="E111" s="64" t="s">
        <v>2</v>
      </c>
      <c r="F111" s="65" t="s">
        <v>4</v>
      </c>
      <c r="G111" s="65" t="s">
        <v>5</v>
      </c>
      <c r="H111" s="65" t="s">
        <v>86</v>
      </c>
      <c r="J111" s="64" t="s">
        <v>110</v>
      </c>
      <c r="K111" s="65" t="s">
        <v>1</v>
      </c>
      <c r="L111" s="64" t="s">
        <v>2</v>
      </c>
      <c r="M111" s="65" t="s">
        <v>3</v>
      </c>
      <c r="N111" s="64" t="s">
        <v>2</v>
      </c>
      <c r="O111" s="65" t="s">
        <v>4</v>
      </c>
      <c r="P111" s="65" t="s">
        <v>5</v>
      </c>
      <c r="Q111" s="65" t="s">
        <v>86</v>
      </c>
    </row>
    <row r="112" spans="1:18" x14ac:dyDescent="0.2">
      <c r="A112" s="66">
        <v>43710</v>
      </c>
      <c r="B112" s="67">
        <f>66+24+33+16+12+14+15+8+10+2+7+1+8</f>
        <v>216</v>
      </c>
      <c r="C112" s="67">
        <v>13</v>
      </c>
      <c r="D112" s="67">
        <f>4+73+30+6+42+268+4+88+71+2+8+4+8+1+100+2+19+2+34+105+12+5+4+2174</f>
        <v>3066</v>
      </c>
      <c r="E112" s="67">
        <v>24</v>
      </c>
      <c r="F112" s="67">
        <f>B112+D112</f>
        <v>3282</v>
      </c>
      <c r="G112" s="67">
        <f t="shared" ref="G112:G132" si="31">C112+E112</f>
        <v>37</v>
      </c>
      <c r="H112" s="79"/>
      <c r="J112" s="66">
        <v>43739</v>
      </c>
      <c r="K112" s="67">
        <f>60+5+80+66+66+440+8+19+2</f>
        <v>746</v>
      </c>
      <c r="L112" s="67">
        <v>9</v>
      </c>
      <c r="M112" s="67">
        <f>10+3+10+15+10+11+3+4+1+3+23+160+2+40+2+12+18+6+3+102+91+6</f>
        <v>535</v>
      </c>
      <c r="N112" s="67">
        <v>22</v>
      </c>
      <c r="O112" s="67">
        <f>K112+M112</f>
        <v>1281</v>
      </c>
      <c r="P112" s="67">
        <f t="shared" ref="P112:P132" si="32">L112+N112</f>
        <v>31</v>
      </c>
      <c r="Q112" s="79"/>
    </row>
    <row r="113" spans="1:17" x14ac:dyDescent="0.2">
      <c r="A113" s="66">
        <v>43711</v>
      </c>
      <c r="B113" s="67">
        <f>1513+2+12+14+3+17+15+10+15+6</f>
        <v>1607</v>
      </c>
      <c r="C113" s="67">
        <v>10</v>
      </c>
      <c r="D113" s="67">
        <f>8+8+12+54+1035+1+15+17+30+34+2+6+1+30+8+4+8+88+29+8+447</f>
        <v>1845</v>
      </c>
      <c r="E113" s="67">
        <v>21</v>
      </c>
      <c r="F113" s="67">
        <f t="shared" ref="F113:F132" si="33">B113+D113</f>
        <v>3452</v>
      </c>
      <c r="G113" s="67">
        <f t="shared" si="31"/>
        <v>31</v>
      </c>
      <c r="H113" s="79"/>
      <c r="J113" s="66">
        <v>43740</v>
      </c>
      <c r="K113" s="67">
        <f>4+1</f>
        <v>5</v>
      </c>
      <c r="L113" s="67">
        <v>2</v>
      </c>
      <c r="M113" s="67">
        <f>44+3+6+185+2+108+4+20+12+6+20+110+149+52+24+5+23+9+25+1+38</f>
        <v>846</v>
      </c>
      <c r="N113" s="67">
        <v>21</v>
      </c>
      <c r="O113" s="67">
        <f t="shared" ref="O113:O132" si="34">K113+M113</f>
        <v>851</v>
      </c>
      <c r="P113" s="67">
        <f t="shared" si="32"/>
        <v>23</v>
      </c>
      <c r="Q113" s="79"/>
    </row>
    <row r="114" spans="1:17" x14ac:dyDescent="0.2">
      <c r="A114" s="66">
        <v>43712</v>
      </c>
      <c r="B114" s="67">
        <f>141+400+126+100+186+6+11+4+14+3+4</f>
        <v>995</v>
      </c>
      <c r="C114" s="67">
        <v>11</v>
      </c>
      <c r="D114" s="67">
        <f>5+103+68+232+3+50+4+163+14+4+4+42+20+6+49+42+36+1+27+583+231+39</f>
        <v>1726</v>
      </c>
      <c r="E114" s="67">
        <v>22</v>
      </c>
      <c r="F114" s="67">
        <f t="shared" si="33"/>
        <v>2721</v>
      </c>
      <c r="G114" s="67">
        <f t="shared" si="31"/>
        <v>33</v>
      </c>
      <c r="H114" s="79"/>
      <c r="J114" s="66">
        <v>43741</v>
      </c>
      <c r="K114" s="67">
        <f>266+540+2</f>
        <v>808</v>
      </c>
      <c r="L114" s="67">
        <v>3</v>
      </c>
      <c r="M114" s="67">
        <f>47+28+55+3+6+115+12+10+18+60+11+66+5+16+15+86+31+149</f>
        <v>733</v>
      </c>
      <c r="N114" s="67">
        <v>18</v>
      </c>
      <c r="O114" s="67">
        <f t="shared" si="34"/>
        <v>1541</v>
      </c>
      <c r="P114" s="67">
        <f t="shared" si="32"/>
        <v>21</v>
      </c>
      <c r="Q114" s="79"/>
    </row>
    <row r="115" spans="1:17" x14ac:dyDescent="0.2">
      <c r="A115" s="66">
        <v>43713</v>
      </c>
      <c r="B115" s="68">
        <f>33+120+96+15+15+12</f>
        <v>291</v>
      </c>
      <c r="C115" s="67">
        <v>6</v>
      </c>
      <c r="D115" s="68">
        <f>30+3+8+71+165+18+159+46+1+5+22+16+39+9+245+22+2+11+56+12+61+10+8+12+208+31+368</f>
        <v>1638</v>
      </c>
      <c r="E115" s="67">
        <v>27</v>
      </c>
      <c r="F115" s="67">
        <f t="shared" si="33"/>
        <v>1929</v>
      </c>
      <c r="G115" s="67">
        <f t="shared" si="31"/>
        <v>33</v>
      </c>
      <c r="H115" s="79"/>
      <c r="J115" s="66">
        <v>43742</v>
      </c>
      <c r="K115" s="68">
        <f>102+19+5+11+18</f>
        <v>155</v>
      </c>
      <c r="L115" s="67">
        <v>5</v>
      </c>
      <c r="M115" s="68">
        <f>4+8+13+8+184+2+125+4+48+13+58+84+43+205+6+8+25+24+166</f>
        <v>1028</v>
      </c>
      <c r="N115" s="67">
        <v>19</v>
      </c>
      <c r="O115" s="67">
        <f t="shared" si="34"/>
        <v>1183</v>
      </c>
      <c r="P115" s="67">
        <f t="shared" si="32"/>
        <v>24</v>
      </c>
      <c r="Q115" s="79"/>
    </row>
    <row r="116" spans="1:17" x14ac:dyDescent="0.2">
      <c r="A116" s="66">
        <v>43714</v>
      </c>
      <c r="B116" s="68">
        <f>80+62+53+333+17+6+5+3+15+15+7+4+14</f>
        <v>614</v>
      </c>
      <c r="C116" s="67">
        <v>13</v>
      </c>
      <c r="D116" s="68">
        <f>3+15+83+24+5+23+38+36+65+152+6+96+20+56+10+11+6</f>
        <v>649</v>
      </c>
      <c r="E116" s="67">
        <v>17</v>
      </c>
      <c r="F116" s="67">
        <f t="shared" si="33"/>
        <v>1263</v>
      </c>
      <c r="G116" s="67">
        <f t="shared" si="31"/>
        <v>30</v>
      </c>
      <c r="H116" s="79"/>
      <c r="J116" s="66">
        <v>43745</v>
      </c>
      <c r="K116" s="68">
        <f>20+363+90+7+2+15+15+13+7</f>
        <v>532</v>
      </c>
      <c r="L116" s="67">
        <v>9</v>
      </c>
      <c r="M116" s="68">
        <f>50+38+11+6+115+8+33+8+277+87+27+4+23+26+4+15+18+32+10+4</f>
        <v>796</v>
      </c>
      <c r="N116" s="67">
        <v>20</v>
      </c>
      <c r="O116" s="67">
        <f t="shared" si="34"/>
        <v>1328</v>
      </c>
      <c r="P116" s="67">
        <f t="shared" si="32"/>
        <v>29</v>
      </c>
      <c r="Q116" s="79"/>
    </row>
    <row r="117" spans="1:17" x14ac:dyDescent="0.2">
      <c r="A117" s="66">
        <v>43717</v>
      </c>
      <c r="B117" s="68">
        <f>753+20+102+40+480+1080+4+2+2+2+4+10+15+15+1+1</f>
        <v>2531</v>
      </c>
      <c r="C117" s="67">
        <v>16</v>
      </c>
      <c r="D117" s="68">
        <f>3+20+7+48+40+40+20+90+1+56+13+4+39</f>
        <v>381</v>
      </c>
      <c r="E117" s="67">
        <v>13</v>
      </c>
      <c r="F117" s="67">
        <f t="shared" si="33"/>
        <v>2912</v>
      </c>
      <c r="G117" s="67">
        <f t="shared" si="31"/>
        <v>29</v>
      </c>
      <c r="H117" s="79"/>
      <c r="J117" s="66">
        <v>43746</v>
      </c>
      <c r="K117" s="68">
        <f>45+1050+33+6</f>
        <v>1134</v>
      </c>
      <c r="L117" s="67">
        <v>4</v>
      </c>
      <c r="M117" s="68">
        <f>12+51+5+10+165+256+6+28+15+380+20+67+72+34+21+10+19+12+119</f>
        <v>1302</v>
      </c>
      <c r="N117" s="67">
        <v>19</v>
      </c>
      <c r="O117" s="67">
        <f t="shared" si="34"/>
        <v>2436</v>
      </c>
      <c r="P117" s="67">
        <f t="shared" si="32"/>
        <v>23</v>
      </c>
      <c r="Q117" s="79"/>
    </row>
    <row r="118" spans="1:17" x14ac:dyDescent="0.2">
      <c r="A118" s="66">
        <v>43718</v>
      </c>
      <c r="B118" s="68">
        <f>50+70+433+10+8+13+2+10+8+15+15</f>
        <v>634</v>
      </c>
      <c r="C118" s="67">
        <v>11</v>
      </c>
      <c r="D118" s="68">
        <f>64+111+2+172+74+14+6+4+502+48+418+10+2+11+25</f>
        <v>1463</v>
      </c>
      <c r="E118" s="67">
        <v>15</v>
      </c>
      <c r="F118" s="67">
        <f t="shared" si="33"/>
        <v>2097</v>
      </c>
      <c r="G118" s="67">
        <f t="shared" si="31"/>
        <v>26</v>
      </c>
      <c r="H118" s="79">
        <f>3+1</f>
        <v>4</v>
      </c>
      <c r="J118" s="66">
        <v>43747</v>
      </c>
      <c r="K118" s="68">
        <f>8+30+1245+87+10+20+18+286+400+13+13+11+7+5+7+9</f>
        <v>2169</v>
      </c>
      <c r="L118" s="67">
        <v>16</v>
      </c>
      <c r="M118" s="68">
        <f>31+2+104+20+4+116+76+14+157+269+20+1+11+223+22+279+7+4+180</f>
        <v>1540</v>
      </c>
      <c r="N118" s="67">
        <v>19</v>
      </c>
      <c r="O118" s="67">
        <f t="shared" si="34"/>
        <v>3709</v>
      </c>
      <c r="P118" s="67">
        <f t="shared" si="32"/>
        <v>35</v>
      </c>
      <c r="Q118" s="79"/>
    </row>
    <row r="119" spans="1:17" x14ac:dyDescent="0.2">
      <c r="A119" s="66">
        <v>43719</v>
      </c>
      <c r="B119" s="68">
        <f>1+2+3+3+6+3+2</f>
        <v>20</v>
      </c>
      <c r="C119" s="67">
        <v>7</v>
      </c>
      <c r="D119" s="68">
        <f>117+550+16+2+8+140+4+7+78+128+10+434+40+162+65+139+81+3+64+8+86+4+64+13</f>
        <v>2223</v>
      </c>
      <c r="E119" s="67">
        <v>24</v>
      </c>
      <c r="F119" s="67">
        <f t="shared" si="33"/>
        <v>2243</v>
      </c>
      <c r="G119" s="67">
        <f t="shared" si="31"/>
        <v>31</v>
      </c>
      <c r="H119" s="79"/>
      <c r="J119" s="66">
        <v>43748</v>
      </c>
      <c r="K119" s="68">
        <f>50+6+7+2+10+7+14+5</f>
        <v>101</v>
      </c>
      <c r="L119" s="67">
        <v>8</v>
      </c>
      <c r="M119" s="68">
        <f>333+451+86+4+68+6+35+57+16+16+24+7+15+79+4+17+8+11+73+13+4+10</f>
        <v>1337</v>
      </c>
      <c r="N119" s="67">
        <v>22</v>
      </c>
      <c r="O119" s="67">
        <f t="shared" si="34"/>
        <v>1438</v>
      </c>
      <c r="P119" s="67">
        <f t="shared" si="32"/>
        <v>30</v>
      </c>
      <c r="Q119" s="79"/>
    </row>
    <row r="120" spans="1:17" x14ac:dyDescent="0.2">
      <c r="A120" s="66">
        <v>43720</v>
      </c>
      <c r="B120" s="68">
        <f>133+100+66+48+32</f>
        <v>379</v>
      </c>
      <c r="C120" s="67">
        <v>5</v>
      </c>
      <c r="D120" s="62">
        <f>50+2+24+6+15+3+63+8+101+33+1308+50+105+235+57+578+60</f>
        <v>2698</v>
      </c>
      <c r="E120" s="67">
        <v>17</v>
      </c>
      <c r="F120" s="67">
        <f t="shared" si="33"/>
        <v>3077</v>
      </c>
      <c r="G120" s="67">
        <f t="shared" si="31"/>
        <v>22</v>
      </c>
      <c r="H120" s="79"/>
      <c r="J120" s="66">
        <v>43749</v>
      </c>
      <c r="K120" s="68">
        <f>12+6+12+10+1+1+8+4+9</f>
        <v>63</v>
      </c>
      <c r="L120" s="67">
        <v>9</v>
      </c>
      <c r="M120" s="62">
        <f>4+5+4+178+91+31+10+15+24+23+24+142+7+2+27</f>
        <v>587</v>
      </c>
      <c r="N120" s="67">
        <v>15</v>
      </c>
      <c r="O120" s="67">
        <f t="shared" si="34"/>
        <v>650</v>
      </c>
      <c r="P120" s="67">
        <f t="shared" si="32"/>
        <v>24</v>
      </c>
      <c r="Q120" s="79"/>
    </row>
    <row r="121" spans="1:17" x14ac:dyDescent="0.2">
      <c r="A121" s="66">
        <v>43721</v>
      </c>
      <c r="B121" s="68">
        <f>45+433+266+8+1+2</f>
        <v>755</v>
      </c>
      <c r="C121" s="67">
        <v>6</v>
      </c>
      <c r="D121" s="68">
        <f>45+55+8+28+15+2+71+3+18+54+130</f>
        <v>429</v>
      </c>
      <c r="E121" s="67">
        <v>11</v>
      </c>
      <c r="F121" s="67">
        <f t="shared" si="33"/>
        <v>1184</v>
      </c>
      <c r="G121" s="67">
        <f t="shared" si="31"/>
        <v>17</v>
      </c>
      <c r="H121" s="79">
        <v>1</v>
      </c>
      <c r="J121" s="66">
        <v>43753</v>
      </c>
      <c r="K121" s="68">
        <f>213+150+2+4+1</f>
        <v>370</v>
      </c>
      <c r="L121" s="67">
        <v>5</v>
      </c>
      <c r="M121" s="68">
        <f>162+26+22+20+30+5+12+8+21+14+238+27+10+70+17+54+94+13+12+4</f>
        <v>859</v>
      </c>
      <c r="N121" s="67">
        <v>20</v>
      </c>
      <c r="O121" s="67">
        <f t="shared" si="34"/>
        <v>1229</v>
      </c>
      <c r="P121" s="67">
        <f t="shared" si="32"/>
        <v>25</v>
      </c>
      <c r="Q121" s="79"/>
    </row>
    <row r="122" spans="1:17" x14ac:dyDescent="0.2">
      <c r="A122" s="66">
        <v>43724</v>
      </c>
      <c r="B122" s="67">
        <f>26+4+2+18+11+11+2+7+6+8</f>
        <v>95</v>
      </c>
      <c r="C122" s="67">
        <v>10</v>
      </c>
      <c r="D122" s="67">
        <f>7+22+5+4+170+8+32+27+1+26+22+17+94+11+6+3+38+6+70+41+1</f>
        <v>611</v>
      </c>
      <c r="E122" s="67">
        <v>21</v>
      </c>
      <c r="F122" s="67">
        <f t="shared" si="33"/>
        <v>706</v>
      </c>
      <c r="G122" s="67">
        <f t="shared" si="31"/>
        <v>31</v>
      </c>
      <c r="H122" s="101"/>
      <c r="J122" s="66">
        <v>43754</v>
      </c>
      <c r="K122" s="67">
        <f>80+200+4+13+13+18</f>
        <v>328</v>
      </c>
      <c r="L122" s="67">
        <v>6</v>
      </c>
      <c r="M122" s="67">
        <f>4+200+31+38+2+6+21+36+34+26+14+7+7+168+62+2+66+5+8+122+81+8+13+17+5+140+142</f>
        <v>1265</v>
      </c>
      <c r="N122" s="67">
        <v>27</v>
      </c>
      <c r="O122" s="67">
        <f t="shared" si="34"/>
        <v>1593</v>
      </c>
      <c r="P122" s="67">
        <f t="shared" si="32"/>
        <v>33</v>
      </c>
      <c r="Q122" s="101"/>
    </row>
    <row r="123" spans="1:17" x14ac:dyDescent="0.2">
      <c r="A123" s="66">
        <v>43725</v>
      </c>
      <c r="B123" s="68">
        <f>487+2+6+10+4+4+1</f>
        <v>514</v>
      </c>
      <c r="C123" s="67">
        <v>7</v>
      </c>
      <c r="D123" s="68">
        <f>244+38+10+1+4+3+1+20+110+19+103+16+14+113+11+15+12</f>
        <v>734</v>
      </c>
      <c r="E123" s="67">
        <v>17</v>
      </c>
      <c r="F123" s="67">
        <f t="shared" si="33"/>
        <v>1248</v>
      </c>
      <c r="G123" s="67">
        <f t="shared" si="31"/>
        <v>24</v>
      </c>
      <c r="H123" s="79"/>
      <c r="J123" s="66">
        <v>43755</v>
      </c>
      <c r="K123" s="68">
        <f>2+14+4+11+8+9+7+3+19+12+5</f>
        <v>94</v>
      </c>
      <c r="L123" s="67">
        <v>11</v>
      </c>
      <c r="M123" s="68">
        <f>4+84+14+11+221+8+4+92+91+13+17+10</f>
        <v>569</v>
      </c>
      <c r="N123" s="67">
        <v>12</v>
      </c>
      <c r="O123" s="67">
        <f t="shared" si="34"/>
        <v>663</v>
      </c>
      <c r="P123" s="67">
        <f t="shared" si="32"/>
        <v>23</v>
      </c>
      <c r="Q123" s="79"/>
    </row>
    <row r="124" spans="1:17" x14ac:dyDescent="0.2">
      <c r="A124" s="66">
        <v>43726</v>
      </c>
      <c r="B124" s="68">
        <f>86+4+9+3+6+17+3+5+2+4+2+3+2+1+2</f>
        <v>149</v>
      </c>
      <c r="C124" s="67">
        <v>15</v>
      </c>
      <c r="D124" s="68">
        <f>33+4+3+10+32+20+25+36+10+352+20+2+19+2+53+681+6</f>
        <v>1308</v>
      </c>
      <c r="E124" s="67">
        <v>17</v>
      </c>
      <c r="F124" s="67">
        <f t="shared" si="33"/>
        <v>1457</v>
      </c>
      <c r="G124" s="67">
        <f t="shared" si="31"/>
        <v>32</v>
      </c>
      <c r="H124" s="79"/>
      <c r="J124" s="66">
        <v>43756</v>
      </c>
      <c r="K124" s="68">
        <f>45+166+1+6+20+140+7+15+14+10+1+10+16+6+10</f>
        <v>467</v>
      </c>
      <c r="L124" s="67">
        <v>15</v>
      </c>
      <c r="M124" s="68">
        <f>3+8+8+6+2+708+2+27+4+75+20+8+834+66+9+3+225</f>
        <v>2008</v>
      </c>
      <c r="N124" s="67">
        <v>17</v>
      </c>
      <c r="O124" s="67">
        <f t="shared" si="34"/>
        <v>2475</v>
      </c>
      <c r="P124" s="67">
        <f t="shared" si="32"/>
        <v>32</v>
      </c>
      <c r="Q124" s="79"/>
    </row>
    <row r="125" spans="1:17" x14ac:dyDescent="0.2">
      <c r="A125" s="66">
        <v>43727</v>
      </c>
      <c r="B125" s="68">
        <f>45+45+120+2+2+2+3+4+6+10+14+14+16</f>
        <v>283</v>
      </c>
      <c r="C125" s="67">
        <v>13</v>
      </c>
      <c r="D125" s="68">
        <f>2+3+5+7+11+12+89+103+125+241+355+2+672</f>
        <v>1627</v>
      </c>
      <c r="E125" s="67">
        <v>13</v>
      </c>
      <c r="F125" s="67">
        <f t="shared" si="33"/>
        <v>1910</v>
      </c>
      <c r="G125" s="67">
        <f t="shared" si="31"/>
        <v>26</v>
      </c>
      <c r="H125" s="79"/>
      <c r="J125" s="66">
        <v>43759</v>
      </c>
      <c r="K125" s="68">
        <f>70+166+190+533+2+2+15+5+5+19+7</f>
        <v>1014</v>
      </c>
      <c r="L125" s="67">
        <v>11</v>
      </c>
      <c r="M125" s="68">
        <f>8+2+74+1+17+14+2+6+3+4+198+255+4+12+54+27+146+30+859+4+25+56+32</f>
        <v>1833</v>
      </c>
      <c r="N125" s="67">
        <v>23</v>
      </c>
      <c r="O125" s="67">
        <f t="shared" si="34"/>
        <v>2847</v>
      </c>
      <c r="P125" s="67">
        <f t="shared" si="32"/>
        <v>34</v>
      </c>
      <c r="Q125" s="79"/>
    </row>
    <row r="126" spans="1:17" x14ac:dyDescent="0.2">
      <c r="A126" s="66">
        <v>43728</v>
      </c>
      <c r="B126" s="68">
        <f>370+3+26+3+7+2+3+1+4</f>
        <v>419</v>
      </c>
      <c r="C126" s="67">
        <v>9</v>
      </c>
      <c r="D126" s="68">
        <f>12+4+22+1+40+15+622+64+34+12+19+28+172</f>
        <v>1045</v>
      </c>
      <c r="E126" s="67">
        <v>13</v>
      </c>
      <c r="F126" s="67">
        <f t="shared" si="33"/>
        <v>1464</v>
      </c>
      <c r="G126" s="67">
        <f t="shared" si="31"/>
        <v>22</v>
      </c>
      <c r="H126" s="79"/>
      <c r="J126" s="66">
        <v>43760</v>
      </c>
      <c r="K126" s="68">
        <f>166+136+33+2000+15+12+12</f>
        <v>2374</v>
      </c>
      <c r="L126" s="67">
        <v>7</v>
      </c>
      <c r="M126" s="68">
        <f>2+1+22+22+2+11+111+59+48+45+5+60+38+83+140+13+7+5+8+5</f>
        <v>687</v>
      </c>
      <c r="N126" s="67">
        <v>20</v>
      </c>
      <c r="O126" s="67">
        <f t="shared" si="34"/>
        <v>3061</v>
      </c>
      <c r="P126" s="67">
        <f t="shared" si="32"/>
        <v>27</v>
      </c>
      <c r="Q126" s="79"/>
    </row>
    <row r="127" spans="1:17" x14ac:dyDescent="0.2">
      <c r="A127" s="66">
        <v>43731</v>
      </c>
      <c r="B127" s="68">
        <f>83+83+148+77+381+68+5+19+19+19+19</f>
        <v>921</v>
      </c>
      <c r="C127" s="67">
        <v>11</v>
      </c>
      <c r="D127" s="68">
        <f>4+17+196+10+2+4+15+3+61+5+23+43+2+102+110+20+10+146+144</f>
        <v>917</v>
      </c>
      <c r="E127" s="67">
        <v>19</v>
      </c>
      <c r="F127" s="67">
        <f t="shared" si="33"/>
        <v>1838</v>
      </c>
      <c r="G127" s="67">
        <f t="shared" si="31"/>
        <v>30</v>
      </c>
      <c r="H127" s="79">
        <v>1</v>
      </c>
      <c r="J127" s="66">
        <v>43761</v>
      </c>
      <c r="K127" s="68">
        <f>180+45+155+3+15+5+3+19+16</f>
        <v>441</v>
      </c>
      <c r="L127" s="67">
        <v>9</v>
      </c>
      <c r="M127" s="68">
        <f>5+10+15+6+5+16+41+36+5+45+55+4+81+54+88+100+4</f>
        <v>570</v>
      </c>
      <c r="N127" s="67">
        <v>17</v>
      </c>
      <c r="O127" s="67">
        <f t="shared" si="34"/>
        <v>1011</v>
      </c>
      <c r="P127" s="67">
        <f t="shared" si="32"/>
        <v>26</v>
      </c>
      <c r="Q127" s="79"/>
    </row>
    <row r="128" spans="1:17" x14ac:dyDescent="0.2">
      <c r="A128" s="66">
        <v>43732</v>
      </c>
      <c r="B128" s="67">
        <v>25</v>
      </c>
      <c r="C128" s="67">
        <v>1</v>
      </c>
      <c r="D128" s="67">
        <f>4+10+139+18+8+60+7+2+26+20+24+30+41+40+147+10+14+201</f>
        <v>801</v>
      </c>
      <c r="E128" s="67">
        <v>18</v>
      </c>
      <c r="F128" s="67">
        <f t="shared" si="33"/>
        <v>826</v>
      </c>
      <c r="G128" s="67">
        <f t="shared" si="31"/>
        <v>19</v>
      </c>
      <c r="H128" s="101"/>
      <c r="J128" s="66">
        <v>43762</v>
      </c>
      <c r="K128" s="67">
        <f>60+33+15+3+1+3+6+19</f>
        <v>140</v>
      </c>
      <c r="L128" s="67">
        <v>8</v>
      </c>
      <c r="M128" s="67">
        <f>34+114+3+6+602+11+18+2+4+4+16+55+72+126+56+5+49+26+21+20+70</f>
        <v>1314</v>
      </c>
      <c r="N128" s="67">
        <v>21</v>
      </c>
      <c r="O128" s="67">
        <f t="shared" si="34"/>
        <v>1454</v>
      </c>
      <c r="P128" s="67">
        <f t="shared" si="32"/>
        <v>29</v>
      </c>
      <c r="Q128" s="101"/>
    </row>
    <row r="129" spans="1:17" x14ac:dyDescent="0.2">
      <c r="A129" s="66">
        <v>43733</v>
      </c>
      <c r="B129" s="68">
        <f>346+80+173+11+8+8+8+7</f>
        <v>641</v>
      </c>
      <c r="C129" s="67">
        <v>8</v>
      </c>
      <c r="D129" s="68">
        <f>4+3+47+10+30+10+3+2+19+2+63+63+108+56+22+12+13+150+40+13+16+24+150+380+160+4+26</f>
        <v>1430</v>
      </c>
      <c r="E129" s="67">
        <v>27</v>
      </c>
      <c r="F129" s="67">
        <f t="shared" si="33"/>
        <v>2071</v>
      </c>
      <c r="G129" s="67">
        <f t="shared" si="31"/>
        <v>35</v>
      </c>
      <c r="H129" s="79"/>
      <c r="J129" s="66">
        <v>43763</v>
      </c>
      <c r="K129" s="68">
        <f>26+100+183+45+200+17+9+2</f>
        <v>582</v>
      </c>
      <c r="L129" s="67">
        <v>8</v>
      </c>
      <c r="M129" s="68">
        <f>71+3+24+4+168+6+75+126+55+74+68+42+6+2+57+5+19+8+2+5+157</f>
        <v>977</v>
      </c>
      <c r="N129" s="67">
        <v>21</v>
      </c>
      <c r="O129" s="67">
        <f t="shared" si="34"/>
        <v>1559</v>
      </c>
      <c r="P129" s="67">
        <f t="shared" si="32"/>
        <v>29</v>
      </c>
      <c r="Q129" s="79"/>
    </row>
    <row r="130" spans="1:17" x14ac:dyDescent="0.2">
      <c r="A130" s="66">
        <v>43734</v>
      </c>
      <c r="B130" s="68">
        <f>177+104+40+66+2+3+6</f>
        <v>398</v>
      </c>
      <c r="C130" s="67">
        <v>7</v>
      </c>
      <c r="D130" s="68">
        <f>200+19+3+1+114+12+172+776+2+3+12+15+3+45+200+202</f>
        <v>1779</v>
      </c>
      <c r="E130" s="67">
        <v>16</v>
      </c>
      <c r="F130" s="67">
        <f t="shared" si="33"/>
        <v>2177</v>
      </c>
      <c r="G130" s="67">
        <f t="shared" si="31"/>
        <v>23</v>
      </c>
      <c r="H130" s="79">
        <v>2</v>
      </c>
      <c r="J130" s="66">
        <v>43766</v>
      </c>
      <c r="K130" s="68">
        <f>36+12+15+18+6+3</f>
        <v>90</v>
      </c>
      <c r="L130" s="67">
        <v>6</v>
      </c>
      <c r="M130" s="68">
        <f>3+53+1+12+31+18+11+20+29+1+26+29+4+32+248</f>
        <v>518</v>
      </c>
      <c r="N130" s="67">
        <v>15</v>
      </c>
      <c r="O130" s="67">
        <f t="shared" si="34"/>
        <v>608</v>
      </c>
      <c r="P130" s="67">
        <f t="shared" si="32"/>
        <v>21</v>
      </c>
      <c r="Q130" s="79"/>
    </row>
    <row r="131" spans="1:17" x14ac:dyDescent="0.2">
      <c r="A131" s="66">
        <v>43735</v>
      </c>
      <c r="B131" s="68">
        <f>1283+66+8+4+4+12+2</f>
        <v>1379</v>
      </c>
      <c r="C131" s="67">
        <v>7</v>
      </c>
      <c r="D131" s="68">
        <f>4+17+1+86+8+99+5+83+105+3+131+3+4+63+123+4+4</f>
        <v>743</v>
      </c>
      <c r="E131" s="67">
        <v>17</v>
      </c>
      <c r="F131" s="67">
        <f t="shared" si="33"/>
        <v>2122</v>
      </c>
      <c r="G131" s="67">
        <f t="shared" si="31"/>
        <v>24</v>
      </c>
      <c r="H131" s="79"/>
      <c r="J131" s="66">
        <v>43767</v>
      </c>
      <c r="K131" s="68">
        <f>2+213</f>
        <v>215</v>
      </c>
      <c r="L131" s="67">
        <v>2</v>
      </c>
      <c r="M131" s="68">
        <f>18+19+2+6+21+6+317+3+16+6+18+31+48+10+115+8+13</f>
        <v>657</v>
      </c>
      <c r="N131" s="67">
        <v>17</v>
      </c>
      <c r="O131" s="67">
        <f t="shared" si="34"/>
        <v>872</v>
      </c>
      <c r="P131" s="67">
        <f t="shared" si="32"/>
        <v>19</v>
      </c>
      <c r="Q131" s="79"/>
    </row>
    <row r="132" spans="1:17" x14ac:dyDescent="0.2">
      <c r="A132" s="66">
        <v>43738</v>
      </c>
      <c r="B132" s="68">
        <f>1400+53+50+2+26+7+8+6</f>
        <v>1552</v>
      </c>
      <c r="C132" s="67">
        <v>8</v>
      </c>
      <c r="D132" s="68">
        <f>14+7+23+40+27+130+83+1+19+34+5+6</f>
        <v>389</v>
      </c>
      <c r="E132" s="67">
        <v>12</v>
      </c>
      <c r="F132" s="67">
        <f t="shared" si="33"/>
        <v>1941</v>
      </c>
      <c r="G132" s="67">
        <f t="shared" si="31"/>
        <v>20</v>
      </c>
      <c r="H132" s="79">
        <v>2</v>
      </c>
      <c r="J132" s="66">
        <v>43768</v>
      </c>
      <c r="K132" s="68">
        <f>82+12+20+20+12+18+100+274+5+16+10</f>
        <v>569</v>
      </c>
      <c r="L132" s="67">
        <v>11</v>
      </c>
      <c r="M132" s="68">
        <f>3+6+14+5+26+6+100+12+21+5+4+20+92+64+7+6</f>
        <v>391</v>
      </c>
      <c r="N132" s="67">
        <v>16</v>
      </c>
      <c r="O132" s="67">
        <f t="shared" si="34"/>
        <v>960</v>
      </c>
      <c r="P132" s="67">
        <f t="shared" si="32"/>
        <v>27</v>
      </c>
      <c r="Q132" s="79"/>
    </row>
    <row r="133" spans="1:17" x14ac:dyDescent="0.2">
      <c r="A133" s="66"/>
      <c r="B133" s="68"/>
      <c r="C133" s="67"/>
      <c r="D133" s="68"/>
      <c r="E133" s="67"/>
      <c r="F133" s="67"/>
      <c r="G133" s="67"/>
      <c r="H133" s="79"/>
      <c r="J133" s="66">
        <v>43769</v>
      </c>
      <c r="K133" s="68">
        <f>100+265+88+6+2+15+6</f>
        <v>482</v>
      </c>
      <c r="L133" s="67">
        <v>7</v>
      </c>
      <c r="M133" s="68">
        <f>20+3+10+35+4+113+60+26+37+11+11+2+405+19+12+3+30+18</f>
        <v>819</v>
      </c>
      <c r="N133" s="67">
        <v>18</v>
      </c>
      <c r="O133" s="67">
        <f t="shared" ref="O133" si="35">K133+M133</f>
        <v>1301</v>
      </c>
      <c r="P133" s="67">
        <f t="shared" ref="P133" si="36">L133+N133</f>
        <v>25</v>
      </c>
      <c r="Q133" s="79"/>
    </row>
    <row r="134" spans="1:17" x14ac:dyDescent="0.2">
      <c r="A134" s="66"/>
      <c r="B134" s="68"/>
      <c r="C134" s="67"/>
      <c r="D134" s="68"/>
      <c r="E134" s="67"/>
      <c r="F134" s="67"/>
      <c r="G134" s="67"/>
      <c r="H134" s="79"/>
      <c r="J134" s="66"/>
      <c r="K134" s="68"/>
      <c r="L134" s="67"/>
      <c r="M134" s="68"/>
      <c r="N134" s="67"/>
      <c r="O134" s="67"/>
      <c r="P134" s="67"/>
      <c r="Q134" s="79"/>
    </row>
    <row r="135" spans="1:17" x14ac:dyDescent="0.2">
      <c r="A135" s="61"/>
      <c r="B135" s="62"/>
      <c r="C135" s="63"/>
      <c r="D135" s="62"/>
      <c r="E135" s="63"/>
      <c r="F135" s="63"/>
      <c r="G135" s="63"/>
      <c r="J135" s="61"/>
      <c r="K135" s="62"/>
      <c r="L135" s="63"/>
      <c r="M135" s="62"/>
      <c r="N135" s="63"/>
      <c r="O135" s="63"/>
      <c r="P135" s="63"/>
    </row>
    <row r="136" spans="1:17" x14ac:dyDescent="0.2">
      <c r="A136" s="74" t="s">
        <v>6</v>
      </c>
      <c r="B136" s="71">
        <f t="shared" ref="B136:E136" si="37">SUM(B111:B135)</f>
        <v>14418</v>
      </c>
      <c r="C136" s="71">
        <f t="shared" si="37"/>
        <v>194</v>
      </c>
      <c r="D136" s="71">
        <f t="shared" si="37"/>
        <v>27502</v>
      </c>
      <c r="E136" s="71">
        <f t="shared" si="37"/>
        <v>381</v>
      </c>
      <c r="F136" s="71">
        <f>SUM(F112:F135)</f>
        <v>41920</v>
      </c>
      <c r="G136" s="71">
        <f t="shared" ref="G136:H136" si="38">SUM(G111:G135)</f>
        <v>575</v>
      </c>
      <c r="H136" s="71">
        <f t="shared" si="38"/>
        <v>10</v>
      </c>
      <c r="J136" s="74" t="s">
        <v>6</v>
      </c>
      <c r="K136" s="71">
        <f t="shared" ref="K136:N136" si="39">SUM(K111:K135)</f>
        <v>12879</v>
      </c>
      <c r="L136" s="71">
        <f t="shared" si="39"/>
        <v>171</v>
      </c>
      <c r="M136" s="71">
        <f t="shared" si="39"/>
        <v>21171</v>
      </c>
      <c r="N136" s="71">
        <f t="shared" si="39"/>
        <v>419</v>
      </c>
      <c r="O136" s="71">
        <f>SUM(O112:O135)</f>
        <v>34050</v>
      </c>
      <c r="P136" s="71">
        <f t="shared" ref="P136:Q136" si="40">SUM(P111:P135)</f>
        <v>590</v>
      </c>
      <c r="Q136" s="71">
        <f t="shared" si="40"/>
        <v>0</v>
      </c>
    </row>
    <row r="137" spans="1:17" x14ac:dyDescent="0.2">
      <c r="A137" s="72"/>
      <c r="B137" s="72"/>
      <c r="C137" s="72"/>
      <c r="D137" s="72"/>
      <c r="E137" s="72"/>
      <c r="F137" s="73">
        <f>F136*55</f>
        <v>2305600</v>
      </c>
      <c r="G137" s="72"/>
      <c r="H137" s="78"/>
      <c r="J137" s="72"/>
      <c r="K137" s="72"/>
      <c r="L137" s="72"/>
      <c r="M137" s="72"/>
      <c r="N137" s="72"/>
      <c r="O137" s="73">
        <f>O136*55</f>
        <v>1872750</v>
      </c>
      <c r="P137" s="72"/>
      <c r="Q137" s="78"/>
    </row>
    <row r="139" spans="1:17" ht="48" x14ac:dyDescent="0.2">
      <c r="A139" s="64" t="s">
        <v>111</v>
      </c>
      <c r="B139" s="65" t="s">
        <v>1</v>
      </c>
      <c r="C139" s="64" t="s">
        <v>2</v>
      </c>
      <c r="D139" s="65" t="s">
        <v>3</v>
      </c>
      <c r="E139" s="64" t="s">
        <v>2</v>
      </c>
      <c r="F139" s="65" t="s">
        <v>4</v>
      </c>
      <c r="G139" s="65" t="s">
        <v>5</v>
      </c>
      <c r="H139" s="65" t="s">
        <v>86</v>
      </c>
      <c r="J139" s="64" t="s">
        <v>116</v>
      </c>
      <c r="K139" s="65" t="s">
        <v>1</v>
      </c>
      <c r="L139" s="64" t="s">
        <v>2</v>
      </c>
      <c r="M139" s="65" t="s">
        <v>3</v>
      </c>
      <c r="N139" s="64" t="s">
        <v>2</v>
      </c>
      <c r="O139" s="65" t="s">
        <v>4</v>
      </c>
      <c r="P139" s="65" t="s">
        <v>5</v>
      </c>
      <c r="Q139" s="65" t="s">
        <v>86</v>
      </c>
    </row>
    <row r="140" spans="1:17" x14ac:dyDescent="0.2">
      <c r="A140" s="66">
        <v>43770</v>
      </c>
      <c r="B140" s="67">
        <f>1716+60+28</f>
        <v>1804</v>
      </c>
      <c r="C140" s="67">
        <v>3</v>
      </c>
      <c r="D140" s="67">
        <f>9+4+20+3+5+66+16+16+11+26+4+2+42+33</f>
        <v>257</v>
      </c>
      <c r="E140" s="67">
        <v>14</v>
      </c>
      <c r="F140" s="67">
        <f>B140+D140</f>
        <v>2061</v>
      </c>
      <c r="G140" s="67">
        <f t="shared" ref="G140:G158" si="41">C140+E140</f>
        <v>17</v>
      </c>
      <c r="H140" s="79"/>
      <c r="J140" s="66">
        <v>43801</v>
      </c>
      <c r="K140" s="67"/>
      <c r="L140" s="67"/>
      <c r="M140" s="67">
        <f>1+2+3+4+4+8+8+9+13+17+18+28+46+56+147+1105</f>
        <v>1469</v>
      </c>
      <c r="N140" s="67">
        <v>16</v>
      </c>
      <c r="O140" s="67">
        <f>K140+M140</f>
        <v>1469</v>
      </c>
      <c r="P140" s="67">
        <f t="shared" ref="P140:P151" si="42">L140+N140</f>
        <v>16</v>
      </c>
      <c r="Q140" s="79"/>
    </row>
    <row r="141" spans="1:17" x14ac:dyDescent="0.2">
      <c r="A141" s="66">
        <v>43774</v>
      </c>
      <c r="B141" s="67">
        <f>50+250</f>
        <v>300</v>
      </c>
      <c r="C141" s="67">
        <v>2</v>
      </c>
      <c r="D141" s="67">
        <f>4+20+85+100+86+3+119+22+170+6+150+77+72+350</f>
        <v>1264</v>
      </c>
      <c r="E141" s="67">
        <v>14</v>
      </c>
      <c r="F141" s="67">
        <f t="shared" ref="F141:F158" si="43">B141+D141</f>
        <v>1564</v>
      </c>
      <c r="G141" s="67">
        <f t="shared" si="41"/>
        <v>16</v>
      </c>
      <c r="H141" s="79"/>
      <c r="J141" s="66">
        <v>43802</v>
      </c>
      <c r="K141" s="67">
        <f>20+250+500</f>
        <v>770</v>
      </c>
      <c r="L141" s="67">
        <v>3</v>
      </c>
      <c r="M141" s="67">
        <f>1+2+4+4+4+5+8+17+18+19+32+108+120+195+253</f>
        <v>790</v>
      </c>
      <c r="N141" s="67">
        <v>15</v>
      </c>
      <c r="O141" s="67">
        <f t="shared" ref="O141:O151" si="44">K141+M141</f>
        <v>1560</v>
      </c>
      <c r="P141" s="67">
        <f t="shared" si="42"/>
        <v>18</v>
      </c>
      <c r="Q141" s="79"/>
    </row>
    <row r="142" spans="1:17" x14ac:dyDescent="0.2">
      <c r="A142" s="66">
        <v>43775</v>
      </c>
      <c r="B142" s="67">
        <f>53+37+4+400+160+12+4+13+10</f>
        <v>693</v>
      </c>
      <c r="C142" s="67">
        <v>9</v>
      </c>
      <c r="D142" s="67">
        <f>3+7+62+2+12+3+45+12+16+137+20+4+18+57+42+15+10</f>
        <v>465</v>
      </c>
      <c r="E142" s="67">
        <v>17</v>
      </c>
      <c r="F142" s="67">
        <f t="shared" si="43"/>
        <v>1158</v>
      </c>
      <c r="G142" s="67">
        <f t="shared" si="41"/>
        <v>26</v>
      </c>
      <c r="H142" s="79"/>
      <c r="J142" s="66">
        <v>43803</v>
      </c>
      <c r="K142" s="67">
        <f>100+6+3</f>
        <v>109</v>
      </c>
      <c r="L142" s="67">
        <v>3</v>
      </c>
      <c r="M142" s="67">
        <f>1+1+4+14+15+20+25+25+30+30+52+120</f>
        <v>337</v>
      </c>
      <c r="N142" s="67">
        <v>12</v>
      </c>
      <c r="O142" s="67">
        <f t="shared" si="44"/>
        <v>446</v>
      </c>
      <c r="P142" s="67">
        <f t="shared" si="42"/>
        <v>15</v>
      </c>
      <c r="Q142" s="79"/>
    </row>
    <row r="143" spans="1:17" x14ac:dyDescent="0.2">
      <c r="A143" s="66">
        <v>43776</v>
      </c>
      <c r="B143" s="68">
        <f>326+10+78+36+53+15</f>
        <v>518</v>
      </c>
      <c r="C143" s="67">
        <v>6</v>
      </c>
      <c r="D143" s="68">
        <f>80+20+43+10+6+18+20+27+120+37+58+75+76+24+284+12+11+93</f>
        <v>1014</v>
      </c>
      <c r="E143" s="67">
        <v>18</v>
      </c>
      <c r="F143" s="67">
        <f t="shared" si="43"/>
        <v>1532</v>
      </c>
      <c r="G143" s="67">
        <f t="shared" si="41"/>
        <v>24</v>
      </c>
      <c r="H143" s="79"/>
      <c r="J143" s="66">
        <v>43804</v>
      </c>
      <c r="K143" s="68">
        <f>17+25+920</f>
        <v>962</v>
      </c>
      <c r="L143" s="67">
        <v>3</v>
      </c>
      <c r="M143" s="68">
        <f>1+2+3+4+4+4+5+5+6+7+7+11+12+14+20+27+35+38+40+168</f>
        <v>413</v>
      </c>
      <c r="N143" s="67">
        <v>20</v>
      </c>
      <c r="O143" s="67">
        <f t="shared" si="44"/>
        <v>1375</v>
      </c>
      <c r="P143" s="67">
        <f t="shared" si="42"/>
        <v>23</v>
      </c>
      <c r="Q143" s="79"/>
    </row>
    <row r="144" spans="1:17" x14ac:dyDescent="0.2">
      <c r="A144" s="66">
        <v>43777</v>
      </c>
      <c r="B144" s="68">
        <f>10+139</f>
        <v>149</v>
      </c>
      <c r="C144" s="67">
        <v>2</v>
      </c>
      <c r="D144" s="68">
        <f>12+17+10+12+21+5+13+8+3+2+39+18+92+36+58</f>
        <v>346</v>
      </c>
      <c r="E144" s="67">
        <v>15</v>
      </c>
      <c r="F144" s="67">
        <f t="shared" si="43"/>
        <v>495</v>
      </c>
      <c r="G144" s="67">
        <f t="shared" si="41"/>
        <v>17</v>
      </c>
      <c r="H144" s="79"/>
      <c r="J144" s="66">
        <v>43805</v>
      </c>
      <c r="K144" s="68">
        <f>3+13+66</f>
        <v>82</v>
      </c>
      <c r="L144" s="67">
        <v>3</v>
      </c>
      <c r="M144" s="68">
        <f>1+2+2+2+4+5+10+13+18+22+22+38+40+40+47+59+317+400</f>
        <v>1042</v>
      </c>
      <c r="N144" s="67">
        <v>18</v>
      </c>
      <c r="O144" s="67">
        <f t="shared" si="44"/>
        <v>1124</v>
      </c>
      <c r="P144" s="67">
        <f t="shared" si="42"/>
        <v>21</v>
      </c>
      <c r="Q144" s="79"/>
    </row>
    <row r="145" spans="1:17" x14ac:dyDescent="0.2">
      <c r="A145" s="66">
        <v>43781</v>
      </c>
      <c r="B145" s="68">
        <f>256+3+33+21+100+13</f>
        <v>426</v>
      </c>
      <c r="C145" s="67">
        <v>6</v>
      </c>
      <c r="D145" s="68">
        <f>40+12+4+6+12+20+41+2+5+83+81+17+57+81+63+251+52+8+571+18+10</f>
        <v>1434</v>
      </c>
      <c r="E145" s="67">
        <v>21</v>
      </c>
      <c r="F145" s="67">
        <f t="shared" si="43"/>
        <v>1860</v>
      </c>
      <c r="G145" s="67">
        <f t="shared" si="41"/>
        <v>27</v>
      </c>
      <c r="H145" s="79"/>
      <c r="J145" s="66">
        <v>43808</v>
      </c>
      <c r="K145" s="68"/>
      <c r="L145" s="67"/>
      <c r="M145" s="68"/>
      <c r="N145" s="67"/>
      <c r="O145" s="67">
        <f t="shared" si="44"/>
        <v>0</v>
      </c>
      <c r="P145" s="67">
        <f t="shared" si="42"/>
        <v>0</v>
      </c>
      <c r="Q145" s="79"/>
    </row>
    <row r="146" spans="1:17" x14ac:dyDescent="0.2">
      <c r="A146" s="66">
        <v>43782</v>
      </c>
      <c r="B146" s="68">
        <f>5+13+33+6+80+5+1</f>
        <v>143</v>
      </c>
      <c r="C146" s="67">
        <v>7</v>
      </c>
      <c r="D146" s="68">
        <f>4+11+2+16+4+133+1+88+6+286+42+22+4+4+59</f>
        <v>682</v>
      </c>
      <c r="E146" s="67">
        <v>15</v>
      </c>
      <c r="F146" s="67">
        <f t="shared" si="43"/>
        <v>825</v>
      </c>
      <c r="G146" s="67">
        <f t="shared" si="41"/>
        <v>22</v>
      </c>
      <c r="H146" s="79"/>
      <c r="J146" s="66">
        <v>43809</v>
      </c>
      <c r="K146" s="68"/>
      <c r="L146" s="67"/>
      <c r="M146" s="68"/>
      <c r="N146" s="67"/>
      <c r="O146" s="67">
        <f t="shared" si="44"/>
        <v>0</v>
      </c>
      <c r="P146" s="67">
        <f t="shared" si="42"/>
        <v>0</v>
      </c>
      <c r="Q146" s="79"/>
    </row>
    <row r="147" spans="1:17" x14ac:dyDescent="0.2">
      <c r="A147" s="66">
        <v>43783</v>
      </c>
      <c r="B147" s="68">
        <f>13+6+1326+14+250+126+185+19+19+3</f>
        <v>1961</v>
      </c>
      <c r="C147" s="67">
        <v>10</v>
      </c>
      <c r="D147" s="68">
        <f>54+3+7+6+330+52+49+30+36+24+9+3+14+31+22+8+25+479</f>
        <v>1182</v>
      </c>
      <c r="E147" s="67">
        <v>18</v>
      </c>
      <c r="F147" s="67">
        <f t="shared" si="43"/>
        <v>3143</v>
      </c>
      <c r="G147" s="67">
        <f t="shared" si="41"/>
        <v>28</v>
      </c>
      <c r="H147" s="79"/>
      <c r="J147" s="66">
        <v>43810</v>
      </c>
      <c r="K147" s="68"/>
      <c r="L147" s="67"/>
      <c r="M147" s="68"/>
      <c r="N147" s="67"/>
      <c r="O147" s="67">
        <f t="shared" si="44"/>
        <v>0</v>
      </c>
      <c r="P147" s="67">
        <f t="shared" si="42"/>
        <v>0</v>
      </c>
      <c r="Q147" s="79"/>
    </row>
    <row r="148" spans="1:17" x14ac:dyDescent="0.2">
      <c r="A148" s="66">
        <v>43784</v>
      </c>
      <c r="B148" s="68">
        <f>16+2000+4+36</f>
        <v>2056</v>
      </c>
      <c r="C148" s="67">
        <v>4</v>
      </c>
      <c r="D148" s="68">
        <f>66+168+562+4+30+123+5+4+502+801+247</f>
        <v>2512</v>
      </c>
      <c r="E148" s="67">
        <v>11</v>
      </c>
      <c r="F148" s="67">
        <f t="shared" si="43"/>
        <v>4568</v>
      </c>
      <c r="G148" s="67">
        <f t="shared" si="41"/>
        <v>15</v>
      </c>
      <c r="H148" s="79"/>
      <c r="J148" s="66">
        <v>43811</v>
      </c>
      <c r="K148" s="68"/>
      <c r="L148" s="67"/>
      <c r="M148" s="68"/>
      <c r="N148" s="67"/>
      <c r="O148" s="67">
        <f t="shared" si="44"/>
        <v>0</v>
      </c>
      <c r="P148" s="67">
        <f t="shared" si="42"/>
        <v>0</v>
      </c>
      <c r="Q148" s="79"/>
    </row>
    <row r="149" spans="1:17" x14ac:dyDescent="0.2">
      <c r="A149" s="66">
        <v>43787</v>
      </c>
      <c r="B149" s="67">
        <f>6+13+27+27+30+66+85+108+120+266+285</f>
        <v>1033</v>
      </c>
      <c r="C149" s="67">
        <v>11</v>
      </c>
      <c r="D149" s="67">
        <f>2+2+3+6+6+10+20+30+36+42+46+53+85+96+138+150+246+6+145+453</f>
        <v>1575</v>
      </c>
      <c r="E149" s="67">
        <v>20</v>
      </c>
      <c r="F149" s="67">
        <f t="shared" si="43"/>
        <v>2608</v>
      </c>
      <c r="G149" s="67">
        <f t="shared" si="41"/>
        <v>31</v>
      </c>
      <c r="H149" s="101"/>
      <c r="J149" s="66">
        <v>43812</v>
      </c>
      <c r="K149" s="67"/>
      <c r="L149" s="67"/>
      <c r="M149" s="67"/>
      <c r="N149" s="67"/>
      <c r="O149" s="67">
        <f t="shared" si="44"/>
        <v>0</v>
      </c>
      <c r="P149" s="67">
        <f t="shared" si="42"/>
        <v>0</v>
      </c>
      <c r="Q149" s="101"/>
    </row>
    <row r="150" spans="1:17" x14ac:dyDescent="0.2">
      <c r="A150" s="66">
        <v>43788</v>
      </c>
      <c r="B150" s="67">
        <f>6+13+333+500+345</f>
        <v>1197</v>
      </c>
      <c r="C150" s="67">
        <v>5</v>
      </c>
      <c r="D150" s="67">
        <f>2+3+3+4+5+14+18+18+21+26+26+27+30+33+39+46+53+65+81+82+107+119+435</f>
        <v>1257</v>
      </c>
      <c r="E150" s="67">
        <v>23</v>
      </c>
      <c r="F150" s="67">
        <f t="shared" si="43"/>
        <v>2454</v>
      </c>
      <c r="G150" s="67">
        <f t="shared" si="41"/>
        <v>28</v>
      </c>
      <c r="H150" s="101"/>
      <c r="J150" s="66">
        <v>43815</v>
      </c>
      <c r="K150" s="67"/>
      <c r="L150" s="67"/>
      <c r="M150" s="67"/>
      <c r="N150" s="67"/>
      <c r="O150" s="67">
        <f t="shared" si="44"/>
        <v>0</v>
      </c>
      <c r="P150" s="67">
        <f t="shared" si="42"/>
        <v>0</v>
      </c>
      <c r="Q150" s="101"/>
    </row>
    <row r="151" spans="1:17" x14ac:dyDescent="0.2">
      <c r="A151" s="66">
        <v>43789</v>
      </c>
      <c r="B151" s="68">
        <f>45+53+66+160+400</f>
        <v>724</v>
      </c>
      <c r="C151" s="67">
        <v>5</v>
      </c>
      <c r="D151" s="68">
        <f>1+3+3+4+4+5+6+8+8+20+26+38+40+52+64+87+134+153+161</f>
        <v>817</v>
      </c>
      <c r="E151" s="67">
        <v>19</v>
      </c>
      <c r="F151" s="67">
        <f t="shared" si="43"/>
        <v>1541</v>
      </c>
      <c r="G151" s="67">
        <f t="shared" si="41"/>
        <v>24</v>
      </c>
      <c r="H151" s="79"/>
      <c r="J151" s="66">
        <v>43816</v>
      </c>
      <c r="K151" s="68"/>
      <c r="L151" s="67"/>
      <c r="M151" s="68"/>
      <c r="N151" s="67"/>
      <c r="O151" s="67">
        <f t="shared" si="44"/>
        <v>0</v>
      </c>
      <c r="P151" s="67">
        <f t="shared" si="42"/>
        <v>0</v>
      </c>
      <c r="Q151" s="79"/>
    </row>
    <row r="152" spans="1:17" x14ac:dyDescent="0.2">
      <c r="A152" s="66">
        <v>43790</v>
      </c>
      <c r="B152" s="131" t="s">
        <v>115</v>
      </c>
      <c r="C152" s="132"/>
      <c r="D152" s="132"/>
      <c r="E152" s="132"/>
      <c r="F152" s="132"/>
      <c r="G152" s="132"/>
      <c r="H152" s="133"/>
      <c r="J152" s="66">
        <v>43817</v>
      </c>
      <c r="K152" s="67"/>
      <c r="L152" s="67"/>
      <c r="M152" s="67"/>
      <c r="N152" s="67"/>
      <c r="O152" s="67">
        <f t="shared" ref="O152:O160" si="45">K152+M152</f>
        <v>0</v>
      </c>
      <c r="P152" s="67">
        <f t="shared" ref="P152:P160" si="46">L152+N152</f>
        <v>0</v>
      </c>
      <c r="Q152" s="79"/>
    </row>
    <row r="153" spans="1:17" x14ac:dyDescent="0.2">
      <c r="A153" s="66">
        <v>43791</v>
      </c>
      <c r="B153" s="68">
        <f>10+13+210+45</f>
        <v>278</v>
      </c>
      <c r="C153" s="67">
        <v>4</v>
      </c>
      <c r="D153" s="68">
        <f>5+4+6+9+10+15+17+31+31+33+38+39+44+50</f>
        <v>332</v>
      </c>
      <c r="E153" s="67">
        <v>14</v>
      </c>
      <c r="F153" s="67">
        <f t="shared" ref="F153" si="47">B153+D153</f>
        <v>610</v>
      </c>
      <c r="G153" s="67">
        <f t="shared" ref="G153" si="48">C153+E153</f>
        <v>18</v>
      </c>
      <c r="H153" s="79"/>
      <c r="J153" s="66">
        <v>43818</v>
      </c>
      <c r="K153" s="68"/>
      <c r="L153" s="67"/>
      <c r="M153" s="68"/>
      <c r="N153" s="67"/>
      <c r="O153" s="67">
        <f t="shared" si="45"/>
        <v>0</v>
      </c>
      <c r="P153" s="67">
        <f t="shared" si="46"/>
        <v>0</v>
      </c>
      <c r="Q153" s="79"/>
    </row>
    <row r="154" spans="1:17" x14ac:dyDescent="0.2">
      <c r="A154" s="66">
        <v>43794</v>
      </c>
      <c r="B154" s="67">
        <f>5+6+20+66+100+100+120+123+200+2756</f>
        <v>3496</v>
      </c>
      <c r="C154" s="67">
        <v>10</v>
      </c>
      <c r="D154" s="67">
        <f>2+3+6+10+11+12+24+25+31+35+70+248+31</f>
        <v>508</v>
      </c>
      <c r="E154" s="67">
        <v>13</v>
      </c>
      <c r="F154" s="67">
        <f t="shared" si="43"/>
        <v>4004</v>
      </c>
      <c r="G154" s="67">
        <f t="shared" si="41"/>
        <v>23</v>
      </c>
      <c r="H154" s="101"/>
      <c r="J154" s="66">
        <v>43819</v>
      </c>
      <c r="K154" s="67"/>
      <c r="L154" s="67"/>
      <c r="M154" s="67"/>
      <c r="N154" s="67"/>
      <c r="O154" s="67">
        <f t="shared" si="45"/>
        <v>0</v>
      </c>
      <c r="P154" s="67">
        <f t="shared" si="46"/>
        <v>0</v>
      </c>
      <c r="Q154" s="101"/>
    </row>
    <row r="155" spans="1:17" x14ac:dyDescent="0.2">
      <c r="A155" s="66">
        <v>43795</v>
      </c>
      <c r="B155" s="68">
        <f>13+20+40+60+66+160+370+1666</f>
        <v>2395</v>
      </c>
      <c r="C155" s="67">
        <v>7</v>
      </c>
      <c r="D155" s="68">
        <f>1+1+3+3+4+4+4+5+5+5+10+13+19+28+86+133+153+167+195</f>
        <v>839</v>
      </c>
      <c r="E155" s="67">
        <v>19</v>
      </c>
      <c r="F155" s="67">
        <f t="shared" si="43"/>
        <v>3234</v>
      </c>
      <c r="G155" s="67">
        <f t="shared" si="41"/>
        <v>26</v>
      </c>
      <c r="H155" s="79"/>
      <c r="J155" s="66">
        <v>43822</v>
      </c>
      <c r="K155" s="68"/>
      <c r="L155" s="67"/>
      <c r="M155" s="68"/>
      <c r="N155" s="67"/>
      <c r="O155" s="67">
        <f t="shared" si="45"/>
        <v>0</v>
      </c>
      <c r="P155" s="67">
        <f t="shared" si="46"/>
        <v>0</v>
      </c>
      <c r="Q155" s="79"/>
    </row>
    <row r="156" spans="1:17" x14ac:dyDescent="0.2">
      <c r="A156" s="66">
        <v>43796</v>
      </c>
      <c r="B156" s="67">
        <f>2+2+2+6+13+15+20+30+50+80+121+530</f>
        <v>871</v>
      </c>
      <c r="C156" s="67">
        <v>12</v>
      </c>
      <c r="D156" s="67">
        <f>1+5+6+7+8+9+12+16+42+46+58+65+72+74+81+119+188</f>
        <v>809</v>
      </c>
      <c r="E156" s="67">
        <v>17</v>
      </c>
      <c r="F156" s="67">
        <f t="shared" si="43"/>
        <v>1680</v>
      </c>
      <c r="G156" s="67">
        <f t="shared" si="41"/>
        <v>29</v>
      </c>
      <c r="H156" s="101"/>
      <c r="J156" s="66">
        <v>43823</v>
      </c>
      <c r="K156" s="67"/>
      <c r="L156" s="67"/>
      <c r="M156" s="67"/>
      <c r="N156" s="67"/>
      <c r="O156" s="67">
        <f t="shared" si="45"/>
        <v>0</v>
      </c>
      <c r="P156" s="67">
        <f t="shared" si="46"/>
        <v>0</v>
      </c>
      <c r="Q156" s="101"/>
    </row>
    <row r="157" spans="1:17" x14ac:dyDescent="0.2">
      <c r="A157" s="66">
        <v>43797</v>
      </c>
      <c r="B157" s="67">
        <f>2+2+2+2+2+3+3+3+3+3+3+6+6+8+12+33+33+120</f>
        <v>246</v>
      </c>
      <c r="C157" s="67">
        <v>18</v>
      </c>
      <c r="D157" s="67">
        <f>2+3+4+4+5+6+10+15+18+22+25+33+37+41+42+69+74+85+111+118+533</f>
        <v>1257</v>
      </c>
      <c r="E157" s="67">
        <v>21</v>
      </c>
      <c r="F157" s="67">
        <f t="shared" si="43"/>
        <v>1503</v>
      </c>
      <c r="G157" s="67">
        <f t="shared" si="41"/>
        <v>39</v>
      </c>
      <c r="H157" s="101"/>
      <c r="J157" s="66">
        <v>43825</v>
      </c>
      <c r="K157" s="67"/>
      <c r="L157" s="67"/>
      <c r="M157" s="67"/>
      <c r="N157" s="67"/>
      <c r="O157" s="67">
        <f t="shared" si="45"/>
        <v>0</v>
      </c>
      <c r="P157" s="67">
        <f t="shared" si="46"/>
        <v>0</v>
      </c>
      <c r="Q157" s="101"/>
    </row>
    <row r="158" spans="1:17" x14ac:dyDescent="0.2">
      <c r="A158" s="66">
        <v>43798</v>
      </c>
      <c r="B158" s="68">
        <f>13+33+23+100</f>
        <v>169</v>
      </c>
      <c r="C158" s="67">
        <v>4</v>
      </c>
      <c r="D158" s="68">
        <f>75+84+44+54+1+2+3+3+6+7+7+9+10+12+20+22+28+32+61</f>
        <v>480</v>
      </c>
      <c r="E158" s="67">
        <v>19</v>
      </c>
      <c r="F158" s="67">
        <f t="shared" si="43"/>
        <v>649</v>
      </c>
      <c r="G158" s="67">
        <f t="shared" si="41"/>
        <v>23</v>
      </c>
      <c r="H158" s="79"/>
      <c r="J158" s="66">
        <v>43826</v>
      </c>
      <c r="K158" s="68"/>
      <c r="L158" s="67"/>
      <c r="M158" s="68"/>
      <c r="N158" s="67"/>
      <c r="O158" s="67">
        <f t="shared" si="45"/>
        <v>0</v>
      </c>
      <c r="P158" s="67">
        <f t="shared" si="46"/>
        <v>0</v>
      </c>
      <c r="Q158" s="79"/>
    </row>
    <row r="159" spans="1:17" x14ac:dyDescent="0.2">
      <c r="A159" s="66"/>
      <c r="B159" s="68"/>
      <c r="C159" s="67"/>
      <c r="D159" s="68"/>
      <c r="E159" s="67"/>
      <c r="F159" s="67"/>
      <c r="G159" s="67"/>
      <c r="H159" s="79"/>
      <c r="J159" s="66">
        <v>43829</v>
      </c>
      <c r="K159" s="68"/>
      <c r="L159" s="67"/>
      <c r="M159" s="68"/>
      <c r="N159" s="67"/>
      <c r="O159" s="67">
        <f t="shared" si="45"/>
        <v>0</v>
      </c>
      <c r="P159" s="67">
        <f t="shared" si="46"/>
        <v>0</v>
      </c>
      <c r="Q159" s="79"/>
    </row>
    <row r="160" spans="1:17" x14ac:dyDescent="0.2">
      <c r="A160" s="66"/>
      <c r="B160" s="68"/>
      <c r="C160" s="67"/>
      <c r="D160" s="68"/>
      <c r="E160" s="67"/>
      <c r="F160" s="67"/>
      <c r="G160" s="67"/>
      <c r="H160" s="79"/>
      <c r="J160" s="66">
        <v>43830</v>
      </c>
      <c r="K160" s="68"/>
      <c r="L160" s="67"/>
      <c r="M160" s="68"/>
      <c r="N160" s="67"/>
      <c r="O160" s="67">
        <f t="shared" si="45"/>
        <v>0</v>
      </c>
      <c r="P160" s="67">
        <f t="shared" si="46"/>
        <v>0</v>
      </c>
      <c r="Q160" s="79"/>
    </row>
    <row r="161" spans="1:17" x14ac:dyDescent="0.2">
      <c r="A161" s="66"/>
      <c r="B161" s="68"/>
      <c r="C161" s="67"/>
      <c r="D161" s="68"/>
      <c r="E161" s="67"/>
      <c r="F161" s="67"/>
      <c r="G161" s="67"/>
      <c r="H161" s="79"/>
      <c r="J161" s="66"/>
      <c r="K161" s="68"/>
      <c r="L161" s="67"/>
      <c r="M161" s="68"/>
      <c r="N161" s="67"/>
      <c r="O161" s="67"/>
      <c r="P161" s="67"/>
      <c r="Q161" s="79"/>
    </row>
    <row r="162" spans="1:17" x14ac:dyDescent="0.2">
      <c r="A162" s="66"/>
      <c r="B162" s="68"/>
      <c r="C162" s="67"/>
      <c r="D162" s="68"/>
      <c r="E162" s="67"/>
      <c r="F162" s="67"/>
      <c r="G162" s="67"/>
      <c r="H162" s="79"/>
      <c r="J162" s="66"/>
      <c r="K162" s="68"/>
      <c r="L162" s="67"/>
      <c r="M162" s="68"/>
      <c r="N162" s="67"/>
      <c r="O162" s="67"/>
      <c r="P162" s="67"/>
      <c r="Q162" s="79"/>
    </row>
    <row r="163" spans="1:17" x14ac:dyDescent="0.2">
      <c r="A163" s="61"/>
      <c r="B163" s="62"/>
      <c r="C163" s="63"/>
      <c r="D163" s="62"/>
      <c r="E163" s="63"/>
      <c r="F163" s="63"/>
      <c r="G163" s="63"/>
      <c r="J163" s="61"/>
      <c r="K163" s="62"/>
      <c r="L163" s="63"/>
      <c r="M163" s="62"/>
      <c r="N163" s="63"/>
      <c r="O163" s="63"/>
      <c r="P163" s="63"/>
    </row>
    <row r="164" spans="1:17" x14ac:dyDescent="0.2">
      <c r="A164" s="74" t="s">
        <v>6</v>
      </c>
      <c r="B164" s="71">
        <f t="shared" ref="B164:E164" si="49">SUM(B139:B163)</f>
        <v>18459</v>
      </c>
      <c r="C164" s="71">
        <f t="shared" si="49"/>
        <v>125</v>
      </c>
      <c r="D164" s="71">
        <f t="shared" si="49"/>
        <v>17030</v>
      </c>
      <c r="E164" s="71">
        <f t="shared" si="49"/>
        <v>308</v>
      </c>
      <c r="F164" s="71">
        <f>SUM(F140:F163)</f>
        <v>35489</v>
      </c>
      <c r="G164" s="71">
        <f t="shared" ref="G164:H164" si="50">SUM(G139:G163)</f>
        <v>433</v>
      </c>
      <c r="H164" s="71">
        <f t="shared" si="50"/>
        <v>0</v>
      </c>
      <c r="J164" s="74" t="s">
        <v>6</v>
      </c>
      <c r="K164" s="71">
        <f t="shared" ref="K164:N164" si="51">SUM(K139:K163)</f>
        <v>1923</v>
      </c>
      <c r="L164" s="71">
        <f t="shared" si="51"/>
        <v>12</v>
      </c>
      <c r="M164" s="71">
        <f t="shared" si="51"/>
        <v>4051</v>
      </c>
      <c r="N164" s="71">
        <f t="shared" si="51"/>
        <v>81</v>
      </c>
      <c r="O164" s="71">
        <f>SUM(O140:O163)</f>
        <v>5974</v>
      </c>
      <c r="P164" s="71">
        <f t="shared" ref="P164:Q164" si="52">SUM(P139:P163)</f>
        <v>93</v>
      </c>
      <c r="Q164" s="71">
        <f t="shared" si="52"/>
        <v>0</v>
      </c>
    </row>
    <row r="165" spans="1:17" x14ac:dyDescent="0.2">
      <c r="A165" s="72"/>
      <c r="B165" s="72"/>
      <c r="C165" s="72"/>
      <c r="D165" s="72"/>
      <c r="E165" s="72"/>
      <c r="F165" s="73">
        <f>F164*55</f>
        <v>1951895</v>
      </c>
      <c r="G165" s="72"/>
      <c r="H165" s="78"/>
      <c r="J165" s="72"/>
      <c r="K165" s="72"/>
      <c r="L165" s="72"/>
      <c r="M165" s="72"/>
      <c r="N165" s="72"/>
      <c r="O165" s="73">
        <f>O164*55</f>
        <v>328570</v>
      </c>
      <c r="P165" s="72"/>
      <c r="Q165" s="78"/>
    </row>
    <row r="166" spans="1:17" x14ac:dyDescent="0.2">
      <c r="F166" s="102">
        <f>+F165+O137+F137+F109+O109+O81+F53+O53+O28+F28</f>
        <v>20601845</v>
      </c>
    </row>
    <row r="167" spans="1:17" x14ac:dyDescent="0.2">
      <c r="F167" s="60">
        <f>+F166/11</f>
        <v>1872895</v>
      </c>
    </row>
    <row r="168" spans="1:17" x14ac:dyDescent="0.2">
      <c r="F168" s="60">
        <f>+F167/55</f>
        <v>34052.63636363636</v>
      </c>
      <c r="G168" s="60">
        <f>+F168*10</f>
        <v>340526.36363636359</v>
      </c>
    </row>
    <row r="169" spans="1:17" x14ac:dyDescent="0.2">
      <c r="F169" s="60">
        <f>+F168*10%+F168</f>
        <v>37457.899999999994</v>
      </c>
    </row>
    <row r="170" spans="1:17" x14ac:dyDescent="0.2">
      <c r="F170" s="117">
        <f>+F169*10</f>
        <v>374578.99999999994</v>
      </c>
    </row>
  </sheetData>
  <mergeCells count="2">
    <mergeCell ref="A2:P2"/>
    <mergeCell ref="B152:H152"/>
  </mergeCells>
  <pageMargins left="0.7" right="0.7" top="0.75" bottom="0.75" header="0.3" footer="0.3"/>
  <pageSetup paperSize="14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7"/>
  <sheetViews>
    <sheetView workbookViewId="0">
      <selection activeCell="M14" sqref="M14"/>
    </sheetView>
  </sheetViews>
  <sheetFormatPr baseColWidth="10" defaultRowHeight="15" x14ac:dyDescent="0.25"/>
  <cols>
    <col min="1" max="1" width="22.140625" customWidth="1"/>
    <col min="2" max="2" width="14.85546875" bestFit="1" customWidth="1"/>
    <col min="3" max="3" width="13.28515625" bestFit="1" customWidth="1"/>
  </cols>
  <sheetData>
    <row r="3" spans="1:13" x14ac:dyDescent="0.25">
      <c r="A3" s="134" t="s">
        <v>103</v>
      </c>
      <c r="B3" s="134"/>
      <c r="C3" s="134"/>
      <c r="D3" s="134"/>
      <c r="F3" s="134" t="s">
        <v>107</v>
      </c>
      <c r="G3" s="134"/>
      <c r="H3" s="134"/>
      <c r="I3" s="134"/>
    </row>
    <row r="4" spans="1:13" x14ac:dyDescent="0.25">
      <c r="A4" s="64" t="s">
        <v>102</v>
      </c>
      <c r="B4" s="64" t="s">
        <v>104</v>
      </c>
      <c r="C4" s="64" t="s">
        <v>105</v>
      </c>
      <c r="D4" s="64" t="s">
        <v>106</v>
      </c>
      <c r="F4" s="64" t="s">
        <v>102</v>
      </c>
      <c r="G4" s="64" t="s">
        <v>104</v>
      </c>
      <c r="H4" s="64" t="s">
        <v>105</v>
      </c>
      <c r="I4" s="64" t="s">
        <v>106</v>
      </c>
      <c r="K4" s="64" t="s">
        <v>108</v>
      </c>
    </row>
    <row r="5" spans="1:13" x14ac:dyDescent="0.25">
      <c r="A5" s="66">
        <v>43678</v>
      </c>
      <c r="B5" s="105"/>
      <c r="C5" s="105"/>
      <c r="D5" s="105"/>
      <c r="F5" s="66">
        <v>43678</v>
      </c>
      <c r="G5" s="105"/>
      <c r="H5" s="105"/>
      <c r="I5" s="105"/>
      <c r="K5" s="105"/>
    </row>
    <row r="6" spans="1:13" x14ac:dyDescent="0.25">
      <c r="A6" s="66">
        <v>43679</v>
      </c>
      <c r="B6" s="105"/>
      <c r="C6" s="105"/>
      <c r="D6" s="105"/>
      <c r="F6" s="66">
        <v>43679</v>
      </c>
      <c r="G6" s="105"/>
      <c r="H6" s="105"/>
      <c r="I6" s="105"/>
      <c r="K6" s="105"/>
    </row>
    <row r="7" spans="1:13" x14ac:dyDescent="0.25">
      <c r="A7" s="66">
        <v>43682</v>
      </c>
      <c r="B7" s="105"/>
      <c r="C7" s="105"/>
      <c r="D7" s="105"/>
      <c r="F7" s="66">
        <v>43682</v>
      </c>
      <c r="G7" s="105"/>
      <c r="H7" s="105"/>
      <c r="I7" s="105"/>
      <c r="K7" s="105"/>
    </row>
    <row r="8" spans="1:13" x14ac:dyDescent="0.25">
      <c r="A8" s="66">
        <v>43683</v>
      </c>
      <c r="B8" s="105"/>
      <c r="C8" s="105"/>
      <c r="D8" s="105"/>
      <c r="F8" s="66">
        <v>43683</v>
      </c>
      <c r="G8" s="105"/>
      <c r="H8" s="105"/>
      <c r="I8" s="105"/>
      <c r="K8" s="105"/>
    </row>
    <row r="9" spans="1:13" x14ac:dyDescent="0.25">
      <c r="A9" s="66">
        <v>43685</v>
      </c>
      <c r="B9" s="105"/>
      <c r="C9" s="105"/>
      <c r="D9" s="105"/>
      <c r="F9" s="66">
        <v>43685</v>
      </c>
      <c r="G9" s="105"/>
      <c r="H9" s="105"/>
      <c r="I9" s="105"/>
      <c r="K9" s="105"/>
    </row>
    <row r="10" spans="1:13" x14ac:dyDescent="0.25">
      <c r="A10" s="66">
        <v>43686</v>
      </c>
      <c r="B10" s="105"/>
      <c r="C10" s="105"/>
      <c r="D10" s="105"/>
      <c r="F10" s="66">
        <v>43686</v>
      </c>
      <c r="G10" s="105"/>
      <c r="H10" s="105"/>
      <c r="I10" s="105"/>
      <c r="K10" s="105"/>
    </row>
    <row r="11" spans="1:13" x14ac:dyDescent="0.25">
      <c r="A11" s="66">
        <v>43689</v>
      </c>
      <c r="B11" s="105"/>
      <c r="C11" s="105"/>
      <c r="D11" s="105"/>
      <c r="F11" s="66">
        <v>43689</v>
      </c>
      <c r="G11" s="105"/>
      <c r="H11" s="105"/>
      <c r="I11" s="105"/>
      <c r="K11" s="105"/>
    </row>
    <row r="12" spans="1:13" x14ac:dyDescent="0.25">
      <c r="A12" s="66">
        <v>43690</v>
      </c>
      <c r="B12" s="105"/>
      <c r="C12" s="105"/>
      <c r="D12" s="105"/>
      <c r="F12" s="66">
        <v>43690</v>
      </c>
      <c r="G12" s="105"/>
      <c r="H12" s="105"/>
      <c r="I12" s="105"/>
      <c r="K12" s="105"/>
    </row>
    <row r="13" spans="1:13" x14ac:dyDescent="0.25">
      <c r="A13" s="66">
        <v>43691</v>
      </c>
      <c r="B13" s="105">
        <f>264913.2+400681.8</f>
        <v>665595</v>
      </c>
      <c r="C13" s="105">
        <f>264915.6+402696.6</f>
        <v>667612.19999999995</v>
      </c>
      <c r="D13" s="105">
        <f>+C13-B13</f>
        <v>2017.1999999999534</v>
      </c>
      <c r="F13" s="66">
        <v>43691</v>
      </c>
      <c r="G13" s="105">
        <f>195769.4+113392.6</f>
        <v>309162</v>
      </c>
      <c r="H13" s="105">
        <f>195770.4+113797</f>
        <v>309567.40000000002</v>
      </c>
      <c r="I13" s="105">
        <f>+H13-G13</f>
        <v>405.40000000002328</v>
      </c>
      <c r="K13" s="106">
        <f>+D13+I13</f>
        <v>2422.5999999999767</v>
      </c>
      <c r="L13">
        <v>2094</v>
      </c>
      <c r="M13">
        <f>+L13-K13</f>
        <v>-328.59999999997672</v>
      </c>
    </row>
    <row r="14" spans="1:13" x14ac:dyDescent="0.25">
      <c r="A14" s="66">
        <v>43692</v>
      </c>
      <c r="B14" s="105">
        <f>+C13</f>
        <v>667612.19999999995</v>
      </c>
      <c r="C14" s="105">
        <f>264918+404575.8</f>
        <v>669493.80000000005</v>
      </c>
      <c r="D14" s="105">
        <f>+C14-B14</f>
        <v>1881.6000000000931</v>
      </c>
      <c r="F14" s="66">
        <v>43692</v>
      </c>
      <c r="G14" s="105">
        <f>+H13</f>
        <v>309567.40000000002</v>
      </c>
      <c r="H14" s="105">
        <f>195771.4+113815.2</f>
        <v>309586.59999999998</v>
      </c>
      <c r="I14" s="105">
        <f t="shared" ref="I14:I24" si="0">+H14-G14</f>
        <v>19.199999999953434</v>
      </c>
      <c r="K14" s="105">
        <f t="shared" ref="K14:K24" si="1">+D14+I14</f>
        <v>1900.8000000000466</v>
      </c>
    </row>
    <row r="15" spans="1:13" x14ac:dyDescent="0.25">
      <c r="A15" s="66">
        <v>43693</v>
      </c>
      <c r="B15" s="105">
        <f t="shared" ref="B15:B24" si="2">+C14</f>
        <v>669493.80000000005</v>
      </c>
      <c r="C15" s="105"/>
      <c r="D15" s="105">
        <f t="shared" ref="D15:D24" si="3">+C15-B15</f>
        <v>-669493.80000000005</v>
      </c>
      <c r="F15" s="66">
        <v>43693</v>
      </c>
      <c r="G15" s="105">
        <f t="shared" ref="G15:G24" si="4">+H14</f>
        <v>309586.59999999998</v>
      </c>
      <c r="H15" s="105"/>
      <c r="I15" s="105">
        <f t="shared" si="0"/>
        <v>-309586.59999999998</v>
      </c>
      <c r="K15" s="105">
        <f t="shared" si="1"/>
        <v>-979080.4</v>
      </c>
    </row>
    <row r="16" spans="1:13" x14ac:dyDescent="0.25">
      <c r="A16" s="66">
        <v>43697</v>
      </c>
      <c r="B16" s="105">
        <f t="shared" si="2"/>
        <v>0</v>
      </c>
      <c r="C16" s="105"/>
      <c r="D16" s="105">
        <f t="shared" si="3"/>
        <v>0</v>
      </c>
      <c r="F16" s="66">
        <v>43697</v>
      </c>
      <c r="G16" s="105">
        <f t="shared" si="4"/>
        <v>0</v>
      </c>
      <c r="H16" s="105"/>
      <c r="I16" s="105">
        <f t="shared" si="0"/>
        <v>0</v>
      </c>
      <c r="K16" s="105">
        <f t="shared" si="1"/>
        <v>0</v>
      </c>
    </row>
    <row r="17" spans="1:11" x14ac:dyDescent="0.25">
      <c r="A17" s="66">
        <v>43698</v>
      </c>
      <c r="B17" s="105">
        <f t="shared" si="2"/>
        <v>0</v>
      </c>
      <c r="C17" s="105"/>
      <c r="D17" s="105">
        <f t="shared" si="3"/>
        <v>0</v>
      </c>
      <c r="F17" s="66">
        <v>43698</v>
      </c>
      <c r="G17" s="105">
        <f t="shared" si="4"/>
        <v>0</v>
      </c>
      <c r="H17" s="105"/>
      <c r="I17" s="105">
        <f t="shared" si="0"/>
        <v>0</v>
      </c>
      <c r="K17" s="105">
        <f t="shared" si="1"/>
        <v>0</v>
      </c>
    </row>
    <row r="18" spans="1:11" x14ac:dyDescent="0.25">
      <c r="A18" s="66">
        <v>43699</v>
      </c>
      <c r="B18" s="105">
        <f t="shared" si="2"/>
        <v>0</v>
      </c>
      <c r="C18" s="105"/>
      <c r="D18" s="105">
        <f t="shared" si="3"/>
        <v>0</v>
      </c>
      <c r="F18" s="66">
        <v>43699</v>
      </c>
      <c r="G18" s="105">
        <f t="shared" si="4"/>
        <v>0</v>
      </c>
      <c r="H18" s="105"/>
      <c r="I18" s="105">
        <f t="shared" si="0"/>
        <v>0</v>
      </c>
      <c r="K18" s="105">
        <f t="shared" si="1"/>
        <v>0</v>
      </c>
    </row>
    <row r="19" spans="1:11" x14ac:dyDescent="0.25">
      <c r="A19" s="66">
        <v>43700</v>
      </c>
      <c r="B19" s="105">
        <f t="shared" si="2"/>
        <v>0</v>
      </c>
      <c r="C19" s="105"/>
      <c r="D19" s="105">
        <f t="shared" si="3"/>
        <v>0</v>
      </c>
      <c r="F19" s="66">
        <v>43700</v>
      </c>
      <c r="G19" s="105">
        <f t="shared" si="4"/>
        <v>0</v>
      </c>
      <c r="H19" s="105"/>
      <c r="I19" s="105">
        <f t="shared" si="0"/>
        <v>0</v>
      </c>
      <c r="K19" s="105">
        <f t="shared" si="1"/>
        <v>0</v>
      </c>
    </row>
    <row r="20" spans="1:11" x14ac:dyDescent="0.25">
      <c r="A20" s="66">
        <v>43703</v>
      </c>
      <c r="B20" s="105">
        <f t="shared" si="2"/>
        <v>0</v>
      </c>
      <c r="C20" s="105"/>
      <c r="D20" s="105">
        <f t="shared" si="3"/>
        <v>0</v>
      </c>
      <c r="F20" s="66">
        <v>43703</v>
      </c>
      <c r="G20" s="105">
        <f t="shared" si="4"/>
        <v>0</v>
      </c>
      <c r="H20" s="105"/>
      <c r="I20" s="105">
        <f t="shared" si="0"/>
        <v>0</v>
      </c>
      <c r="K20" s="105">
        <f t="shared" si="1"/>
        <v>0</v>
      </c>
    </row>
    <row r="21" spans="1:11" x14ac:dyDescent="0.25">
      <c r="A21" s="66">
        <v>43704</v>
      </c>
      <c r="B21" s="105">
        <f t="shared" si="2"/>
        <v>0</v>
      </c>
      <c r="C21" s="105"/>
      <c r="D21" s="105">
        <f t="shared" si="3"/>
        <v>0</v>
      </c>
      <c r="F21" s="66">
        <v>43704</v>
      </c>
      <c r="G21" s="105">
        <f t="shared" si="4"/>
        <v>0</v>
      </c>
      <c r="H21" s="105"/>
      <c r="I21" s="105">
        <f t="shared" si="0"/>
        <v>0</v>
      </c>
      <c r="K21" s="105">
        <f t="shared" si="1"/>
        <v>0</v>
      </c>
    </row>
    <row r="22" spans="1:11" x14ac:dyDescent="0.25">
      <c r="A22" s="66">
        <v>43705</v>
      </c>
      <c r="B22" s="105">
        <f t="shared" si="2"/>
        <v>0</v>
      </c>
      <c r="C22" s="105"/>
      <c r="D22" s="105">
        <f t="shared" si="3"/>
        <v>0</v>
      </c>
      <c r="F22" s="66">
        <v>43705</v>
      </c>
      <c r="G22" s="105">
        <f t="shared" si="4"/>
        <v>0</v>
      </c>
      <c r="H22" s="105"/>
      <c r="I22" s="105">
        <f t="shared" si="0"/>
        <v>0</v>
      </c>
      <c r="K22" s="105">
        <f t="shared" si="1"/>
        <v>0</v>
      </c>
    </row>
    <row r="23" spans="1:11" x14ac:dyDescent="0.25">
      <c r="A23" s="66">
        <v>43706</v>
      </c>
      <c r="B23" s="105">
        <f t="shared" si="2"/>
        <v>0</v>
      </c>
      <c r="C23" s="105"/>
      <c r="D23" s="105">
        <f>+C23-B23</f>
        <v>0</v>
      </c>
      <c r="F23" s="66">
        <v>43706</v>
      </c>
      <c r="G23" s="105">
        <f t="shared" si="4"/>
        <v>0</v>
      </c>
      <c r="H23" s="105"/>
      <c r="I23" s="105">
        <f t="shared" si="0"/>
        <v>0</v>
      </c>
      <c r="K23" s="105">
        <f t="shared" si="1"/>
        <v>0</v>
      </c>
    </row>
    <row r="24" spans="1:11" x14ac:dyDescent="0.25">
      <c r="A24" s="66">
        <v>43707</v>
      </c>
      <c r="B24" s="105">
        <f t="shared" si="2"/>
        <v>0</v>
      </c>
      <c r="C24" s="105"/>
      <c r="D24" s="105">
        <f t="shared" si="3"/>
        <v>0</v>
      </c>
      <c r="F24" s="66">
        <v>43707</v>
      </c>
      <c r="G24" s="105">
        <f t="shared" si="4"/>
        <v>0</v>
      </c>
      <c r="H24" s="105"/>
      <c r="I24" s="105">
        <f t="shared" si="0"/>
        <v>0</v>
      </c>
      <c r="K24" s="105">
        <f t="shared" si="1"/>
        <v>0</v>
      </c>
    </row>
    <row r="25" spans="1:11" x14ac:dyDescent="0.25">
      <c r="A25" s="66"/>
      <c r="B25" s="105"/>
      <c r="C25" s="105"/>
      <c r="D25" s="105"/>
      <c r="F25" s="66"/>
      <c r="G25" s="105"/>
      <c r="H25" s="105"/>
      <c r="I25" s="105"/>
      <c r="K25" s="105"/>
    </row>
    <row r="26" spans="1:11" x14ac:dyDescent="0.25">
      <c r="A26" s="66"/>
      <c r="B26" s="105"/>
      <c r="C26" s="105"/>
      <c r="D26" s="105"/>
      <c r="F26" s="66"/>
      <c r="G26" s="105"/>
      <c r="H26" s="105"/>
      <c r="I26" s="105"/>
      <c r="K26" s="105"/>
    </row>
    <row r="27" spans="1:11" x14ac:dyDescent="0.25">
      <c r="A27" s="66"/>
      <c r="B27" s="105"/>
      <c r="C27" s="105"/>
      <c r="D27" s="105"/>
      <c r="F27" s="66"/>
      <c r="G27" s="105"/>
      <c r="H27" s="105"/>
      <c r="I27" s="105"/>
      <c r="K27" s="105"/>
    </row>
  </sheetData>
  <mergeCells count="2">
    <mergeCell ref="A3:D3"/>
    <mergeCell ref="F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"/>
  <sheetViews>
    <sheetView workbookViewId="0">
      <pane xSplit="1" topLeftCell="B1" activePane="topRight" state="frozen"/>
      <selection activeCell="H27" sqref="H27"/>
      <selection pane="topRight" activeCell="H27" sqref="H27"/>
    </sheetView>
  </sheetViews>
  <sheetFormatPr baseColWidth="10" defaultRowHeight="23.25" customHeight="1" x14ac:dyDescent="0.25"/>
  <cols>
    <col min="1" max="1" width="41.140625" style="1" customWidth="1"/>
    <col min="2" max="2" width="19.85546875" style="1" customWidth="1"/>
    <col min="3" max="3" width="11.42578125" style="1" customWidth="1"/>
    <col min="4" max="8" width="14.28515625" style="1" customWidth="1"/>
    <col min="9" max="9" width="14.28515625" style="12" customWidth="1"/>
    <col min="10" max="11" width="14.28515625" style="1" customWidth="1"/>
    <col min="12" max="12" width="14.28515625" style="13" customWidth="1"/>
    <col min="13" max="14" width="14.28515625" style="1" customWidth="1"/>
    <col min="15" max="15" width="14.28515625" style="13" customWidth="1"/>
    <col min="16" max="17" width="14.28515625" style="1" customWidth="1"/>
    <col min="18" max="18" width="14.28515625" style="12" customWidth="1"/>
    <col min="19" max="39" width="14.28515625" style="1" customWidth="1"/>
    <col min="40" max="256" width="11.42578125" style="1"/>
    <col min="257" max="257" width="14.28515625" style="1" customWidth="1"/>
    <col min="258" max="258" width="32.85546875" style="1" customWidth="1"/>
    <col min="259" max="259" width="11.42578125" style="1" customWidth="1"/>
    <col min="260" max="261" width="12" style="1" customWidth="1"/>
    <col min="262" max="262" width="9" style="1" customWidth="1"/>
    <col min="263" max="264" width="12" style="1" customWidth="1"/>
    <col min="265" max="265" width="14.28515625" style="1" customWidth="1"/>
    <col min="266" max="267" width="12" style="1" customWidth="1"/>
    <col min="268" max="268" width="12.7109375" style="1" customWidth="1"/>
    <col min="269" max="270" width="12" style="1" customWidth="1"/>
    <col min="271" max="271" width="13" style="1" customWidth="1"/>
    <col min="272" max="272" width="12" style="1" customWidth="1"/>
    <col min="273" max="273" width="15" style="1" customWidth="1"/>
    <col min="274" max="274" width="14.140625" style="1" customWidth="1"/>
    <col min="275" max="276" width="12" style="1" customWidth="1"/>
    <col min="277" max="277" width="11.7109375" style="1" customWidth="1"/>
    <col min="278" max="279" width="11.42578125" style="1" customWidth="1"/>
    <col min="280" max="280" width="13" style="1" customWidth="1"/>
    <col min="281" max="286" width="11.42578125" style="1" customWidth="1"/>
    <col min="287" max="512" width="11.42578125" style="1"/>
    <col min="513" max="513" width="14.28515625" style="1" customWidth="1"/>
    <col min="514" max="514" width="32.85546875" style="1" customWidth="1"/>
    <col min="515" max="515" width="11.42578125" style="1" customWidth="1"/>
    <col min="516" max="517" width="12" style="1" customWidth="1"/>
    <col min="518" max="518" width="9" style="1" customWidth="1"/>
    <col min="519" max="520" width="12" style="1" customWidth="1"/>
    <col min="521" max="521" width="14.28515625" style="1" customWidth="1"/>
    <col min="522" max="523" width="12" style="1" customWidth="1"/>
    <col min="524" max="524" width="12.7109375" style="1" customWidth="1"/>
    <col min="525" max="526" width="12" style="1" customWidth="1"/>
    <col min="527" max="527" width="13" style="1" customWidth="1"/>
    <col min="528" max="528" width="12" style="1" customWidth="1"/>
    <col min="529" max="529" width="15" style="1" customWidth="1"/>
    <col min="530" max="530" width="14.140625" style="1" customWidth="1"/>
    <col min="531" max="532" width="12" style="1" customWidth="1"/>
    <col min="533" max="533" width="11.7109375" style="1" customWidth="1"/>
    <col min="534" max="535" width="11.42578125" style="1" customWidth="1"/>
    <col min="536" max="536" width="13" style="1" customWidth="1"/>
    <col min="537" max="542" width="11.42578125" style="1" customWidth="1"/>
    <col min="543" max="768" width="11.42578125" style="1"/>
    <col min="769" max="769" width="14.28515625" style="1" customWidth="1"/>
    <col min="770" max="770" width="32.85546875" style="1" customWidth="1"/>
    <col min="771" max="771" width="11.42578125" style="1" customWidth="1"/>
    <col min="772" max="773" width="12" style="1" customWidth="1"/>
    <col min="774" max="774" width="9" style="1" customWidth="1"/>
    <col min="775" max="776" width="12" style="1" customWidth="1"/>
    <col min="777" max="777" width="14.28515625" style="1" customWidth="1"/>
    <col min="778" max="779" width="12" style="1" customWidth="1"/>
    <col min="780" max="780" width="12.7109375" style="1" customWidth="1"/>
    <col min="781" max="782" width="12" style="1" customWidth="1"/>
    <col min="783" max="783" width="13" style="1" customWidth="1"/>
    <col min="784" max="784" width="12" style="1" customWidth="1"/>
    <col min="785" max="785" width="15" style="1" customWidth="1"/>
    <col min="786" max="786" width="14.140625" style="1" customWidth="1"/>
    <col min="787" max="788" width="12" style="1" customWidth="1"/>
    <col min="789" max="789" width="11.7109375" style="1" customWidth="1"/>
    <col min="790" max="791" width="11.42578125" style="1" customWidth="1"/>
    <col min="792" max="792" width="13" style="1" customWidth="1"/>
    <col min="793" max="798" width="11.42578125" style="1" customWidth="1"/>
    <col min="799" max="1024" width="11.42578125" style="1"/>
    <col min="1025" max="1025" width="14.28515625" style="1" customWidth="1"/>
    <col min="1026" max="1026" width="32.85546875" style="1" customWidth="1"/>
    <col min="1027" max="1027" width="11.42578125" style="1" customWidth="1"/>
    <col min="1028" max="1029" width="12" style="1" customWidth="1"/>
    <col min="1030" max="1030" width="9" style="1" customWidth="1"/>
    <col min="1031" max="1032" width="12" style="1" customWidth="1"/>
    <col min="1033" max="1033" width="14.28515625" style="1" customWidth="1"/>
    <col min="1034" max="1035" width="12" style="1" customWidth="1"/>
    <col min="1036" max="1036" width="12.7109375" style="1" customWidth="1"/>
    <col min="1037" max="1038" width="12" style="1" customWidth="1"/>
    <col min="1039" max="1039" width="13" style="1" customWidth="1"/>
    <col min="1040" max="1040" width="12" style="1" customWidth="1"/>
    <col min="1041" max="1041" width="15" style="1" customWidth="1"/>
    <col min="1042" max="1042" width="14.140625" style="1" customWidth="1"/>
    <col min="1043" max="1044" width="12" style="1" customWidth="1"/>
    <col min="1045" max="1045" width="11.7109375" style="1" customWidth="1"/>
    <col min="1046" max="1047" width="11.42578125" style="1" customWidth="1"/>
    <col min="1048" max="1048" width="13" style="1" customWidth="1"/>
    <col min="1049" max="1054" width="11.42578125" style="1" customWidth="1"/>
    <col min="1055" max="1280" width="11.42578125" style="1"/>
    <col min="1281" max="1281" width="14.28515625" style="1" customWidth="1"/>
    <col min="1282" max="1282" width="32.85546875" style="1" customWidth="1"/>
    <col min="1283" max="1283" width="11.42578125" style="1" customWidth="1"/>
    <col min="1284" max="1285" width="12" style="1" customWidth="1"/>
    <col min="1286" max="1286" width="9" style="1" customWidth="1"/>
    <col min="1287" max="1288" width="12" style="1" customWidth="1"/>
    <col min="1289" max="1289" width="14.28515625" style="1" customWidth="1"/>
    <col min="1290" max="1291" width="12" style="1" customWidth="1"/>
    <col min="1292" max="1292" width="12.7109375" style="1" customWidth="1"/>
    <col min="1293" max="1294" width="12" style="1" customWidth="1"/>
    <col min="1295" max="1295" width="13" style="1" customWidth="1"/>
    <col min="1296" max="1296" width="12" style="1" customWidth="1"/>
    <col min="1297" max="1297" width="15" style="1" customWidth="1"/>
    <col min="1298" max="1298" width="14.140625" style="1" customWidth="1"/>
    <col min="1299" max="1300" width="12" style="1" customWidth="1"/>
    <col min="1301" max="1301" width="11.7109375" style="1" customWidth="1"/>
    <col min="1302" max="1303" width="11.42578125" style="1" customWidth="1"/>
    <col min="1304" max="1304" width="13" style="1" customWidth="1"/>
    <col min="1305" max="1310" width="11.42578125" style="1" customWidth="1"/>
    <col min="1311" max="1536" width="11.42578125" style="1"/>
    <col min="1537" max="1537" width="14.28515625" style="1" customWidth="1"/>
    <col min="1538" max="1538" width="32.85546875" style="1" customWidth="1"/>
    <col min="1539" max="1539" width="11.42578125" style="1" customWidth="1"/>
    <col min="1540" max="1541" width="12" style="1" customWidth="1"/>
    <col min="1542" max="1542" width="9" style="1" customWidth="1"/>
    <col min="1543" max="1544" width="12" style="1" customWidth="1"/>
    <col min="1545" max="1545" width="14.28515625" style="1" customWidth="1"/>
    <col min="1546" max="1547" width="12" style="1" customWidth="1"/>
    <col min="1548" max="1548" width="12.7109375" style="1" customWidth="1"/>
    <col min="1549" max="1550" width="12" style="1" customWidth="1"/>
    <col min="1551" max="1551" width="13" style="1" customWidth="1"/>
    <col min="1552" max="1552" width="12" style="1" customWidth="1"/>
    <col min="1553" max="1553" width="15" style="1" customWidth="1"/>
    <col min="1554" max="1554" width="14.140625" style="1" customWidth="1"/>
    <col min="1555" max="1556" width="12" style="1" customWidth="1"/>
    <col min="1557" max="1557" width="11.7109375" style="1" customWidth="1"/>
    <col min="1558" max="1559" width="11.42578125" style="1" customWidth="1"/>
    <col min="1560" max="1560" width="13" style="1" customWidth="1"/>
    <col min="1561" max="1566" width="11.42578125" style="1" customWidth="1"/>
    <col min="1567" max="1792" width="11.42578125" style="1"/>
    <col min="1793" max="1793" width="14.28515625" style="1" customWidth="1"/>
    <col min="1794" max="1794" width="32.85546875" style="1" customWidth="1"/>
    <col min="1795" max="1795" width="11.42578125" style="1" customWidth="1"/>
    <col min="1796" max="1797" width="12" style="1" customWidth="1"/>
    <col min="1798" max="1798" width="9" style="1" customWidth="1"/>
    <col min="1799" max="1800" width="12" style="1" customWidth="1"/>
    <col min="1801" max="1801" width="14.28515625" style="1" customWidth="1"/>
    <col min="1802" max="1803" width="12" style="1" customWidth="1"/>
    <col min="1804" max="1804" width="12.7109375" style="1" customWidth="1"/>
    <col min="1805" max="1806" width="12" style="1" customWidth="1"/>
    <col min="1807" max="1807" width="13" style="1" customWidth="1"/>
    <col min="1808" max="1808" width="12" style="1" customWidth="1"/>
    <col min="1809" max="1809" width="15" style="1" customWidth="1"/>
    <col min="1810" max="1810" width="14.140625" style="1" customWidth="1"/>
    <col min="1811" max="1812" width="12" style="1" customWidth="1"/>
    <col min="1813" max="1813" width="11.7109375" style="1" customWidth="1"/>
    <col min="1814" max="1815" width="11.42578125" style="1" customWidth="1"/>
    <col min="1816" max="1816" width="13" style="1" customWidth="1"/>
    <col min="1817" max="1822" width="11.42578125" style="1" customWidth="1"/>
    <col min="1823" max="2048" width="11.42578125" style="1"/>
    <col min="2049" max="2049" width="14.28515625" style="1" customWidth="1"/>
    <col min="2050" max="2050" width="32.85546875" style="1" customWidth="1"/>
    <col min="2051" max="2051" width="11.42578125" style="1" customWidth="1"/>
    <col min="2052" max="2053" width="12" style="1" customWidth="1"/>
    <col min="2054" max="2054" width="9" style="1" customWidth="1"/>
    <col min="2055" max="2056" width="12" style="1" customWidth="1"/>
    <col min="2057" max="2057" width="14.28515625" style="1" customWidth="1"/>
    <col min="2058" max="2059" width="12" style="1" customWidth="1"/>
    <col min="2060" max="2060" width="12.7109375" style="1" customWidth="1"/>
    <col min="2061" max="2062" width="12" style="1" customWidth="1"/>
    <col min="2063" max="2063" width="13" style="1" customWidth="1"/>
    <col min="2064" max="2064" width="12" style="1" customWidth="1"/>
    <col min="2065" max="2065" width="15" style="1" customWidth="1"/>
    <col min="2066" max="2066" width="14.140625" style="1" customWidth="1"/>
    <col min="2067" max="2068" width="12" style="1" customWidth="1"/>
    <col min="2069" max="2069" width="11.7109375" style="1" customWidth="1"/>
    <col min="2070" max="2071" width="11.42578125" style="1" customWidth="1"/>
    <col min="2072" max="2072" width="13" style="1" customWidth="1"/>
    <col min="2073" max="2078" width="11.42578125" style="1" customWidth="1"/>
    <col min="2079" max="2304" width="11.42578125" style="1"/>
    <col min="2305" max="2305" width="14.28515625" style="1" customWidth="1"/>
    <col min="2306" max="2306" width="32.85546875" style="1" customWidth="1"/>
    <col min="2307" max="2307" width="11.42578125" style="1" customWidth="1"/>
    <col min="2308" max="2309" width="12" style="1" customWidth="1"/>
    <col min="2310" max="2310" width="9" style="1" customWidth="1"/>
    <col min="2311" max="2312" width="12" style="1" customWidth="1"/>
    <col min="2313" max="2313" width="14.28515625" style="1" customWidth="1"/>
    <col min="2314" max="2315" width="12" style="1" customWidth="1"/>
    <col min="2316" max="2316" width="12.7109375" style="1" customWidth="1"/>
    <col min="2317" max="2318" width="12" style="1" customWidth="1"/>
    <col min="2319" max="2319" width="13" style="1" customWidth="1"/>
    <col min="2320" max="2320" width="12" style="1" customWidth="1"/>
    <col min="2321" max="2321" width="15" style="1" customWidth="1"/>
    <col min="2322" max="2322" width="14.140625" style="1" customWidth="1"/>
    <col min="2323" max="2324" width="12" style="1" customWidth="1"/>
    <col min="2325" max="2325" width="11.7109375" style="1" customWidth="1"/>
    <col min="2326" max="2327" width="11.42578125" style="1" customWidth="1"/>
    <col min="2328" max="2328" width="13" style="1" customWidth="1"/>
    <col min="2329" max="2334" width="11.42578125" style="1" customWidth="1"/>
    <col min="2335" max="2560" width="11.42578125" style="1"/>
    <col min="2561" max="2561" width="14.28515625" style="1" customWidth="1"/>
    <col min="2562" max="2562" width="32.85546875" style="1" customWidth="1"/>
    <col min="2563" max="2563" width="11.42578125" style="1" customWidth="1"/>
    <col min="2564" max="2565" width="12" style="1" customWidth="1"/>
    <col min="2566" max="2566" width="9" style="1" customWidth="1"/>
    <col min="2567" max="2568" width="12" style="1" customWidth="1"/>
    <col min="2569" max="2569" width="14.28515625" style="1" customWidth="1"/>
    <col min="2570" max="2571" width="12" style="1" customWidth="1"/>
    <col min="2572" max="2572" width="12.7109375" style="1" customWidth="1"/>
    <col min="2573" max="2574" width="12" style="1" customWidth="1"/>
    <col min="2575" max="2575" width="13" style="1" customWidth="1"/>
    <col min="2576" max="2576" width="12" style="1" customWidth="1"/>
    <col min="2577" max="2577" width="15" style="1" customWidth="1"/>
    <col min="2578" max="2578" width="14.140625" style="1" customWidth="1"/>
    <col min="2579" max="2580" width="12" style="1" customWidth="1"/>
    <col min="2581" max="2581" width="11.7109375" style="1" customWidth="1"/>
    <col min="2582" max="2583" width="11.42578125" style="1" customWidth="1"/>
    <col min="2584" max="2584" width="13" style="1" customWidth="1"/>
    <col min="2585" max="2590" width="11.42578125" style="1" customWidth="1"/>
    <col min="2591" max="2816" width="11.42578125" style="1"/>
    <col min="2817" max="2817" width="14.28515625" style="1" customWidth="1"/>
    <col min="2818" max="2818" width="32.85546875" style="1" customWidth="1"/>
    <col min="2819" max="2819" width="11.42578125" style="1" customWidth="1"/>
    <col min="2820" max="2821" width="12" style="1" customWidth="1"/>
    <col min="2822" max="2822" width="9" style="1" customWidth="1"/>
    <col min="2823" max="2824" width="12" style="1" customWidth="1"/>
    <col min="2825" max="2825" width="14.28515625" style="1" customWidth="1"/>
    <col min="2826" max="2827" width="12" style="1" customWidth="1"/>
    <col min="2828" max="2828" width="12.7109375" style="1" customWidth="1"/>
    <col min="2829" max="2830" width="12" style="1" customWidth="1"/>
    <col min="2831" max="2831" width="13" style="1" customWidth="1"/>
    <col min="2832" max="2832" width="12" style="1" customWidth="1"/>
    <col min="2833" max="2833" width="15" style="1" customWidth="1"/>
    <col min="2834" max="2834" width="14.140625" style="1" customWidth="1"/>
    <col min="2835" max="2836" width="12" style="1" customWidth="1"/>
    <col min="2837" max="2837" width="11.7109375" style="1" customWidth="1"/>
    <col min="2838" max="2839" width="11.42578125" style="1" customWidth="1"/>
    <col min="2840" max="2840" width="13" style="1" customWidth="1"/>
    <col min="2841" max="2846" width="11.42578125" style="1" customWidth="1"/>
    <col min="2847" max="3072" width="11.42578125" style="1"/>
    <col min="3073" max="3073" width="14.28515625" style="1" customWidth="1"/>
    <col min="3074" max="3074" width="32.85546875" style="1" customWidth="1"/>
    <col min="3075" max="3075" width="11.42578125" style="1" customWidth="1"/>
    <col min="3076" max="3077" width="12" style="1" customWidth="1"/>
    <col min="3078" max="3078" width="9" style="1" customWidth="1"/>
    <col min="3079" max="3080" width="12" style="1" customWidth="1"/>
    <col min="3081" max="3081" width="14.28515625" style="1" customWidth="1"/>
    <col min="3082" max="3083" width="12" style="1" customWidth="1"/>
    <col min="3084" max="3084" width="12.7109375" style="1" customWidth="1"/>
    <col min="3085" max="3086" width="12" style="1" customWidth="1"/>
    <col min="3087" max="3087" width="13" style="1" customWidth="1"/>
    <col min="3088" max="3088" width="12" style="1" customWidth="1"/>
    <col min="3089" max="3089" width="15" style="1" customWidth="1"/>
    <col min="3090" max="3090" width="14.140625" style="1" customWidth="1"/>
    <col min="3091" max="3092" width="12" style="1" customWidth="1"/>
    <col min="3093" max="3093" width="11.7109375" style="1" customWidth="1"/>
    <col min="3094" max="3095" width="11.42578125" style="1" customWidth="1"/>
    <col min="3096" max="3096" width="13" style="1" customWidth="1"/>
    <col min="3097" max="3102" width="11.42578125" style="1" customWidth="1"/>
    <col min="3103" max="3328" width="11.42578125" style="1"/>
    <col min="3329" max="3329" width="14.28515625" style="1" customWidth="1"/>
    <col min="3330" max="3330" width="32.85546875" style="1" customWidth="1"/>
    <col min="3331" max="3331" width="11.42578125" style="1" customWidth="1"/>
    <col min="3332" max="3333" width="12" style="1" customWidth="1"/>
    <col min="3334" max="3334" width="9" style="1" customWidth="1"/>
    <col min="3335" max="3336" width="12" style="1" customWidth="1"/>
    <col min="3337" max="3337" width="14.28515625" style="1" customWidth="1"/>
    <col min="3338" max="3339" width="12" style="1" customWidth="1"/>
    <col min="3340" max="3340" width="12.7109375" style="1" customWidth="1"/>
    <col min="3341" max="3342" width="12" style="1" customWidth="1"/>
    <col min="3343" max="3343" width="13" style="1" customWidth="1"/>
    <col min="3344" max="3344" width="12" style="1" customWidth="1"/>
    <col min="3345" max="3345" width="15" style="1" customWidth="1"/>
    <col min="3346" max="3346" width="14.140625" style="1" customWidth="1"/>
    <col min="3347" max="3348" width="12" style="1" customWidth="1"/>
    <col min="3349" max="3349" width="11.7109375" style="1" customWidth="1"/>
    <col min="3350" max="3351" width="11.42578125" style="1" customWidth="1"/>
    <col min="3352" max="3352" width="13" style="1" customWidth="1"/>
    <col min="3353" max="3358" width="11.42578125" style="1" customWidth="1"/>
    <col min="3359" max="3584" width="11.42578125" style="1"/>
    <col min="3585" max="3585" width="14.28515625" style="1" customWidth="1"/>
    <col min="3586" max="3586" width="32.85546875" style="1" customWidth="1"/>
    <col min="3587" max="3587" width="11.42578125" style="1" customWidth="1"/>
    <col min="3588" max="3589" width="12" style="1" customWidth="1"/>
    <col min="3590" max="3590" width="9" style="1" customWidth="1"/>
    <col min="3591" max="3592" width="12" style="1" customWidth="1"/>
    <col min="3593" max="3593" width="14.28515625" style="1" customWidth="1"/>
    <col min="3594" max="3595" width="12" style="1" customWidth="1"/>
    <col min="3596" max="3596" width="12.7109375" style="1" customWidth="1"/>
    <col min="3597" max="3598" width="12" style="1" customWidth="1"/>
    <col min="3599" max="3599" width="13" style="1" customWidth="1"/>
    <col min="3600" max="3600" width="12" style="1" customWidth="1"/>
    <col min="3601" max="3601" width="15" style="1" customWidth="1"/>
    <col min="3602" max="3602" width="14.140625" style="1" customWidth="1"/>
    <col min="3603" max="3604" width="12" style="1" customWidth="1"/>
    <col min="3605" max="3605" width="11.7109375" style="1" customWidth="1"/>
    <col min="3606" max="3607" width="11.42578125" style="1" customWidth="1"/>
    <col min="3608" max="3608" width="13" style="1" customWidth="1"/>
    <col min="3609" max="3614" width="11.42578125" style="1" customWidth="1"/>
    <col min="3615" max="3840" width="11.42578125" style="1"/>
    <col min="3841" max="3841" width="14.28515625" style="1" customWidth="1"/>
    <col min="3842" max="3842" width="32.85546875" style="1" customWidth="1"/>
    <col min="3843" max="3843" width="11.42578125" style="1" customWidth="1"/>
    <col min="3844" max="3845" width="12" style="1" customWidth="1"/>
    <col min="3846" max="3846" width="9" style="1" customWidth="1"/>
    <col min="3847" max="3848" width="12" style="1" customWidth="1"/>
    <col min="3849" max="3849" width="14.28515625" style="1" customWidth="1"/>
    <col min="3850" max="3851" width="12" style="1" customWidth="1"/>
    <col min="3852" max="3852" width="12.7109375" style="1" customWidth="1"/>
    <col min="3853" max="3854" width="12" style="1" customWidth="1"/>
    <col min="3855" max="3855" width="13" style="1" customWidth="1"/>
    <col min="3856" max="3856" width="12" style="1" customWidth="1"/>
    <col min="3857" max="3857" width="15" style="1" customWidth="1"/>
    <col min="3858" max="3858" width="14.140625" style="1" customWidth="1"/>
    <col min="3859" max="3860" width="12" style="1" customWidth="1"/>
    <col min="3861" max="3861" width="11.7109375" style="1" customWidth="1"/>
    <col min="3862" max="3863" width="11.42578125" style="1" customWidth="1"/>
    <col min="3864" max="3864" width="13" style="1" customWidth="1"/>
    <col min="3865" max="3870" width="11.42578125" style="1" customWidth="1"/>
    <col min="3871" max="4096" width="11.42578125" style="1"/>
    <col min="4097" max="4097" width="14.28515625" style="1" customWidth="1"/>
    <col min="4098" max="4098" width="32.85546875" style="1" customWidth="1"/>
    <col min="4099" max="4099" width="11.42578125" style="1" customWidth="1"/>
    <col min="4100" max="4101" width="12" style="1" customWidth="1"/>
    <col min="4102" max="4102" width="9" style="1" customWidth="1"/>
    <col min="4103" max="4104" width="12" style="1" customWidth="1"/>
    <col min="4105" max="4105" width="14.28515625" style="1" customWidth="1"/>
    <col min="4106" max="4107" width="12" style="1" customWidth="1"/>
    <col min="4108" max="4108" width="12.7109375" style="1" customWidth="1"/>
    <col min="4109" max="4110" width="12" style="1" customWidth="1"/>
    <col min="4111" max="4111" width="13" style="1" customWidth="1"/>
    <col min="4112" max="4112" width="12" style="1" customWidth="1"/>
    <col min="4113" max="4113" width="15" style="1" customWidth="1"/>
    <col min="4114" max="4114" width="14.140625" style="1" customWidth="1"/>
    <col min="4115" max="4116" width="12" style="1" customWidth="1"/>
    <col min="4117" max="4117" width="11.7109375" style="1" customWidth="1"/>
    <col min="4118" max="4119" width="11.42578125" style="1" customWidth="1"/>
    <col min="4120" max="4120" width="13" style="1" customWidth="1"/>
    <col min="4121" max="4126" width="11.42578125" style="1" customWidth="1"/>
    <col min="4127" max="4352" width="11.42578125" style="1"/>
    <col min="4353" max="4353" width="14.28515625" style="1" customWidth="1"/>
    <col min="4354" max="4354" width="32.85546875" style="1" customWidth="1"/>
    <col min="4355" max="4355" width="11.42578125" style="1" customWidth="1"/>
    <col min="4356" max="4357" width="12" style="1" customWidth="1"/>
    <col min="4358" max="4358" width="9" style="1" customWidth="1"/>
    <col min="4359" max="4360" width="12" style="1" customWidth="1"/>
    <col min="4361" max="4361" width="14.28515625" style="1" customWidth="1"/>
    <col min="4362" max="4363" width="12" style="1" customWidth="1"/>
    <col min="4364" max="4364" width="12.7109375" style="1" customWidth="1"/>
    <col min="4365" max="4366" width="12" style="1" customWidth="1"/>
    <col min="4367" max="4367" width="13" style="1" customWidth="1"/>
    <col min="4368" max="4368" width="12" style="1" customWidth="1"/>
    <col min="4369" max="4369" width="15" style="1" customWidth="1"/>
    <col min="4370" max="4370" width="14.140625" style="1" customWidth="1"/>
    <col min="4371" max="4372" width="12" style="1" customWidth="1"/>
    <col min="4373" max="4373" width="11.7109375" style="1" customWidth="1"/>
    <col min="4374" max="4375" width="11.42578125" style="1" customWidth="1"/>
    <col min="4376" max="4376" width="13" style="1" customWidth="1"/>
    <col min="4377" max="4382" width="11.42578125" style="1" customWidth="1"/>
    <col min="4383" max="4608" width="11.42578125" style="1"/>
    <col min="4609" max="4609" width="14.28515625" style="1" customWidth="1"/>
    <col min="4610" max="4610" width="32.85546875" style="1" customWidth="1"/>
    <col min="4611" max="4611" width="11.42578125" style="1" customWidth="1"/>
    <col min="4612" max="4613" width="12" style="1" customWidth="1"/>
    <col min="4614" max="4614" width="9" style="1" customWidth="1"/>
    <col min="4615" max="4616" width="12" style="1" customWidth="1"/>
    <col min="4617" max="4617" width="14.28515625" style="1" customWidth="1"/>
    <col min="4618" max="4619" width="12" style="1" customWidth="1"/>
    <col min="4620" max="4620" width="12.7109375" style="1" customWidth="1"/>
    <col min="4621" max="4622" width="12" style="1" customWidth="1"/>
    <col min="4623" max="4623" width="13" style="1" customWidth="1"/>
    <col min="4624" max="4624" width="12" style="1" customWidth="1"/>
    <col min="4625" max="4625" width="15" style="1" customWidth="1"/>
    <col min="4626" max="4626" width="14.140625" style="1" customWidth="1"/>
    <col min="4627" max="4628" width="12" style="1" customWidth="1"/>
    <col min="4629" max="4629" width="11.7109375" style="1" customWidth="1"/>
    <col min="4630" max="4631" width="11.42578125" style="1" customWidth="1"/>
    <col min="4632" max="4632" width="13" style="1" customWidth="1"/>
    <col min="4633" max="4638" width="11.42578125" style="1" customWidth="1"/>
    <col min="4639" max="4864" width="11.42578125" style="1"/>
    <col min="4865" max="4865" width="14.28515625" style="1" customWidth="1"/>
    <col min="4866" max="4866" width="32.85546875" style="1" customWidth="1"/>
    <col min="4867" max="4867" width="11.42578125" style="1" customWidth="1"/>
    <col min="4868" max="4869" width="12" style="1" customWidth="1"/>
    <col min="4870" max="4870" width="9" style="1" customWidth="1"/>
    <col min="4871" max="4872" width="12" style="1" customWidth="1"/>
    <col min="4873" max="4873" width="14.28515625" style="1" customWidth="1"/>
    <col min="4874" max="4875" width="12" style="1" customWidth="1"/>
    <col min="4876" max="4876" width="12.7109375" style="1" customWidth="1"/>
    <col min="4877" max="4878" width="12" style="1" customWidth="1"/>
    <col min="4879" max="4879" width="13" style="1" customWidth="1"/>
    <col min="4880" max="4880" width="12" style="1" customWidth="1"/>
    <col min="4881" max="4881" width="15" style="1" customWidth="1"/>
    <col min="4882" max="4882" width="14.140625" style="1" customWidth="1"/>
    <col min="4883" max="4884" width="12" style="1" customWidth="1"/>
    <col min="4885" max="4885" width="11.7109375" style="1" customWidth="1"/>
    <col min="4886" max="4887" width="11.42578125" style="1" customWidth="1"/>
    <col min="4888" max="4888" width="13" style="1" customWidth="1"/>
    <col min="4889" max="4894" width="11.42578125" style="1" customWidth="1"/>
    <col min="4895" max="5120" width="11.42578125" style="1"/>
    <col min="5121" max="5121" width="14.28515625" style="1" customWidth="1"/>
    <col min="5122" max="5122" width="32.85546875" style="1" customWidth="1"/>
    <col min="5123" max="5123" width="11.42578125" style="1" customWidth="1"/>
    <col min="5124" max="5125" width="12" style="1" customWidth="1"/>
    <col min="5126" max="5126" width="9" style="1" customWidth="1"/>
    <col min="5127" max="5128" width="12" style="1" customWidth="1"/>
    <col min="5129" max="5129" width="14.28515625" style="1" customWidth="1"/>
    <col min="5130" max="5131" width="12" style="1" customWidth="1"/>
    <col min="5132" max="5132" width="12.7109375" style="1" customWidth="1"/>
    <col min="5133" max="5134" width="12" style="1" customWidth="1"/>
    <col min="5135" max="5135" width="13" style="1" customWidth="1"/>
    <col min="5136" max="5136" width="12" style="1" customWidth="1"/>
    <col min="5137" max="5137" width="15" style="1" customWidth="1"/>
    <col min="5138" max="5138" width="14.140625" style="1" customWidth="1"/>
    <col min="5139" max="5140" width="12" style="1" customWidth="1"/>
    <col min="5141" max="5141" width="11.7109375" style="1" customWidth="1"/>
    <col min="5142" max="5143" width="11.42578125" style="1" customWidth="1"/>
    <col min="5144" max="5144" width="13" style="1" customWidth="1"/>
    <col min="5145" max="5150" width="11.42578125" style="1" customWidth="1"/>
    <col min="5151" max="5376" width="11.42578125" style="1"/>
    <col min="5377" max="5377" width="14.28515625" style="1" customWidth="1"/>
    <col min="5378" max="5378" width="32.85546875" style="1" customWidth="1"/>
    <col min="5379" max="5379" width="11.42578125" style="1" customWidth="1"/>
    <col min="5380" max="5381" width="12" style="1" customWidth="1"/>
    <col min="5382" max="5382" width="9" style="1" customWidth="1"/>
    <col min="5383" max="5384" width="12" style="1" customWidth="1"/>
    <col min="5385" max="5385" width="14.28515625" style="1" customWidth="1"/>
    <col min="5386" max="5387" width="12" style="1" customWidth="1"/>
    <col min="5388" max="5388" width="12.7109375" style="1" customWidth="1"/>
    <col min="5389" max="5390" width="12" style="1" customWidth="1"/>
    <col min="5391" max="5391" width="13" style="1" customWidth="1"/>
    <col min="5392" max="5392" width="12" style="1" customWidth="1"/>
    <col min="5393" max="5393" width="15" style="1" customWidth="1"/>
    <col min="5394" max="5394" width="14.140625" style="1" customWidth="1"/>
    <col min="5395" max="5396" width="12" style="1" customWidth="1"/>
    <col min="5397" max="5397" width="11.7109375" style="1" customWidth="1"/>
    <col min="5398" max="5399" width="11.42578125" style="1" customWidth="1"/>
    <col min="5400" max="5400" width="13" style="1" customWidth="1"/>
    <col min="5401" max="5406" width="11.42578125" style="1" customWidth="1"/>
    <col min="5407" max="5632" width="11.42578125" style="1"/>
    <col min="5633" max="5633" width="14.28515625" style="1" customWidth="1"/>
    <col min="5634" max="5634" width="32.85546875" style="1" customWidth="1"/>
    <col min="5635" max="5635" width="11.42578125" style="1" customWidth="1"/>
    <col min="5636" max="5637" width="12" style="1" customWidth="1"/>
    <col min="5638" max="5638" width="9" style="1" customWidth="1"/>
    <col min="5639" max="5640" width="12" style="1" customWidth="1"/>
    <col min="5641" max="5641" width="14.28515625" style="1" customWidth="1"/>
    <col min="5642" max="5643" width="12" style="1" customWidth="1"/>
    <col min="5644" max="5644" width="12.7109375" style="1" customWidth="1"/>
    <col min="5645" max="5646" width="12" style="1" customWidth="1"/>
    <col min="5647" max="5647" width="13" style="1" customWidth="1"/>
    <col min="5648" max="5648" width="12" style="1" customWidth="1"/>
    <col min="5649" max="5649" width="15" style="1" customWidth="1"/>
    <col min="5650" max="5650" width="14.140625" style="1" customWidth="1"/>
    <col min="5651" max="5652" width="12" style="1" customWidth="1"/>
    <col min="5653" max="5653" width="11.7109375" style="1" customWidth="1"/>
    <col min="5654" max="5655" width="11.42578125" style="1" customWidth="1"/>
    <col min="5656" max="5656" width="13" style="1" customWidth="1"/>
    <col min="5657" max="5662" width="11.42578125" style="1" customWidth="1"/>
    <col min="5663" max="5888" width="11.42578125" style="1"/>
    <col min="5889" max="5889" width="14.28515625" style="1" customWidth="1"/>
    <col min="5890" max="5890" width="32.85546875" style="1" customWidth="1"/>
    <col min="5891" max="5891" width="11.42578125" style="1" customWidth="1"/>
    <col min="5892" max="5893" width="12" style="1" customWidth="1"/>
    <col min="5894" max="5894" width="9" style="1" customWidth="1"/>
    <col min="5895" max="5896" width="12" style="1" customWidth="1"/>
    <col min="5897" max="5897" width="14.28515625" style="1" customWidth="1"/>
    <col min="5898" max="5899" width="12" style="1" customWidth="1"/>
    <col min="5900" max="5900" width="12.7109375" style="1" customWidth="1"/>
    <col min="5901" max="5902" width="12" style="1" customWidth="1"/>
    <col min="5903" max="5903" width="13" style="1" customWidth="1"/>
    <col min="5904" max="5904" width="12" style="1" customWidth="1"/>
    <col min="5905" max="5905" width="15" style="1" customWidth="1"/>
    <col min="5906" max="5906" width="14.140625" style="1" customWidth="1"/>
    <col min="5907" max="5908" width="12" style="1" customWidth="1"/>
    <col min="5909" max="5909" width="11.7109375" style="1" customWidth="1"/>
    <col min="5910" max="5911" width="11.42578125" style="1" customWidth="1"/>
    <col min="5912" max="5912" width="13" style="1" customWidth="1"/>
    <col min="5913" max="5918" width="11.42578125" style="1" customWidth="1"/>
    <col min="5919" max="6144" width="11.42578125" style="1"/>
    <col min="6145" max="6145" width="14.28515625" style="1" customWidth="1"/>
    <col min="6146" max="6146" width="32.85546875" style="1" customWidth="1"/>
    <col min="6147" max="6147" width="11.42578125" style="1" customWidth="1"/>
    <col min="6148" max="6149" width="12" style="1" customWidth="1"/>
    <col min="6150" max="6150" width="9" style="1" customWidth="1"/>
    <col min="6151" max="6152" width="12" style="1" customWidth="1"/>
    <col min="6153" max="6153" width="14.28515625" style="1" customWidth="1"/>
    <col min="6154" max="6155" width="12" style="1" customWidth="1"/>
    <col min="6156" max="6156" width="12.7109375" style="1" customWidth="1"/>
    <col min="6157" max="6158" width="12" style="1" customWidth="1"/>
    <col min="6159" max="6159" width="13" style="1" customWidth="1"/>
    <col min="6160" max="6160" width="12" style="1" customWidth="1"/>
    <col min="6161" max="6161" width="15" style="1" customWidth="1"/>
    <col min="6162" max="6162" width="14.140625" style="1" customWidth="1"/>
    <col min="6163" max="6164" width="12" style="1" customWidth="1"/>
    <col min="6165" max="6165" width="11.7109375" style="1" customWidth="1"/>
    <col min="6166" max="6167" width="11.42578125" style="1" customWidth="1"/>
    <col min="6168" max="6168" width="13" style="1" customWidth="1"/>
    <col min="6169" max="6174" width="11.42578125" style="1" customWidth="1"/>
    <col min="6175" max="6400" width="11.42578125" style="1"/>
    <col min="6401" max="6401" width="14.28515625" style="1" customWidth="1"/>
    <col min="6402" max="6402" width="32.85546875" style="1" customWidth="1"/>
    <col min="6403" max="6403" width="11.42578125" style="1" customWidth="1"/>
    <col min="6404" max="6405" width="12" style="1" customWidth="1"/>
    <col min="6406" max="6406" width="9" style="1" customWidth="1"/>
    <col min="6407" max="6408" width="12" style="1" customWidth="1"/>
    <col min="6409" max="6409" width="14.28515625" style="1" customWidth="1"/>
    <col min="6410" max="6411" width="12" style="1" customWidth="1"/>
    <col min="6412" max="6412" width="12.7109375" style="1" customWidth="1"/>
    <col min="6413" max="6414" width="12" style="1" customWidth="1"/>
    <col min="6415" max="6415" width="13" style="1" customWidth="1"/>
    <col min="6416" max="6416" width="12" style="1" customWidth="1"/>
    <col min="6417" max="6417" width="15" style="1" customWidth="1"/>
    <col min="6418" max="6418" width="14.140625" style="1" customWidth="1"/>
    <col min="6419" max="6420" width="12" style="1" customWidth="1"/>
    <col min="6421" max="6421" width="11.7109375" style="1" customWidth="1"/>
    <col min="6422" max="6423" width="11.42578125" style="1" customWidth="1"/>
    <col min="6424" max="6424" width="13" style="1" customWidth="1"/>
    <col min="6425" max="6430" width="11.42578125" style="1" customWidth="1"/>
    <col min="6431" max="6656" width="11.42578125" style="1"/>
    <col min="6657" max="6657" width="14.28515625" style="1" customWidth="1"/>
    <col min="6658" max="6658" width="32.85546875" style="1" customWidth="1"/>
    <col min="6659" max="6659" width="11.42578125" style="1" customWidth="1"/>
    <col min="6660" max="6661" width="12" style="1" customWidth="1"/>
    <col min="6662" max="6662" width="9" style="1" customWidth="1"/>
    <col min="6663" max="6664" width="12" style="1" customWidth="1"/>
    <col min="6665" max="6665" width="14.28515625" style="1" customWidth="1"/>
    <col min="6666" max="6667" width="12" style="1" customWidth="1"/>
    <col min="6668" max="6668" width="12.7109375" style="1" customWidth="1"/>
    <col min="6669" max="6670" width="12" style="1" customWidth="1"/>
    <col min="6671" max="6671" width="13" style="1" customWidth="1"/>
    <col min="6672" max="6672" width="12" style="1" customWidth="1"/>
    <col min="6673" max="6673" width="15" style="1" customWidth="1"/>
    <col min="6674" max="6674" width="14.140625" style="1" customWidth="1"/>
    <col min="6675" max="6676" width="12" style="1" customWidth="1"/>
    <col min="6677" max="6677" width="11.7109375" style="1" customWidth="1"/>
    <col min="6678" max="6679" width="11.42578125" style="1" customWidth="1"/>
    <col min="6680" max="6680" width="13" style="1" customWidth="1"/>
    <col min="6681" max="6686" width="11.42578125" style="1" customWidth="1"/>
    <col min="6687" max="6912" width="11.42578125" style="1"/>
    <col min="6913" max="6913" width="14.28515625" style="1" customWidth="1"/>
    <col min="6914" max="6914" width="32.85546875" style="1" customWidth="1"/>
    <col min="6915" max="6915" width="11.42578125" style="1" customWidth="1"/>
    <col min="6916" max="6917" width="12" style="1" customWidth="1"/>
    <col min="6918" max="6918" width="9" style="1" customWidth="1"/>
    <col min="6919" max="6920" width="12" style="1" customWidth="1"/>
    <col min="6921" max="6921" width="14.28515625" style="1" customWidth="1"/>
    <col min="6922" max="6923" width="12" style="1" customWidth="1"/>
    <col min="6924" max="6924" width="12.7109375" style="1" customWidth="1"/>
    <col min="6925" max="6926" width="12" style="1" customWidth="1"/>
    <col min="6927" max="6927" width="13" style="1" customWidth="1"/>
    <col min="6928" max="6928" width="12" style="1" customWidth="1"/>
    <col min="6929" max="6929" width="15" style="1" customWidth="1"/>
    <col min="6930" max="6930" width="14.140625" style="1" customWidth="1"/>
    <col min="6931" max="6932" width="12" style="1" customWidth="1"/>
    <col min="6933" max="6933" width="11.7109375" style="1" customWidth="1"/>
    <col min="6934" max="6935" width="11.42578125" style="1" customWidth="1"/>
    <col min="6936" max="6936" width="13" style="1" customWidth="1"/>
    <col min="6937" max="6942" width="11.42578125" style="1" customWidth="1"/>
    <col min="6943" max="7168" width="11.42578125" style="1"/>
    <col min="7169" max="7169" width="14.28515625" style="1" customWidth="1"/>
    <col min="7170" max="7170" width="32.85546875" style="1" customWidth="1"/>
    <col min="7171" max="7171" width="11.42578125" style="1" customWidth="1"/>
    <col min="7172" max="7173" width="12" style="1" customWidth="1"/>
    <col min="7174" max="7174" width="9" style="1" customWidth="1"/>
    <col min="7175" max="7176" width="12" style="1" customWidth="1"/>
    <col min="7177" max="7177" width="14.28515625" style="1" customWidth="1"/>
    <col min="7178" max="7179" width="12" style="1" customWidth="1"/>
    <col min="7180" max="7180" width="12.7109375" style="1" customWidth="1"/>
    <col min="7181" max="7182" width="12" style="1" customWidth="1"/>
    <col min="7183" max="7183" width="13" style="1" customWidth="1"/>
    <col min="7184" max="7184" width="12" style="1" customWidth="1"/>
    <col min="7185" max="7185" width="15" style="1" customWidth="1"/>
    <col min="7186" max="7186" width="14.140625" style="1" customWidth="1"/>
    <col min="7187" max="7188" width="12" style="1" customWidth="1"/>
    <col min="7189" max="7189" width="11.7109375" style="1" customWidth="1"/>
    <col min="7190" max="7191" width="11.42578125" style="1" customWidth="1"/>
    <col min="7192" max="7192" width="13" style="1" customWidth="1"/>
    <col min="7193" max="7198" width="11.42578125" style="1" customWidth="1"/>
    <col min="7199" max="7424" width="11.42578125" style="1"/>
    <col min="7425" max="7425" width="14.28515625" style="1" customWidth="1"/>
    <col min="7426" max="7426" width="32.85546875" style="1" customWidth="1"/>
    <col min="7427" max="7427" width="11.42578125" style="1" customWidth="1"/>
    <col min="7428" max="7429" width="12" style="1" customWidth="1"/>
    <col min="7430" max="7430" width="9" style="1" customWidth="1"/>
    <col min="7431" max="7432" width="12" style="1" customWidth="1"/>
    <col min="7433" max="7433" width="14.28515625" style="1" customWidth="1"/>
    <col min="7434" max="7435" width="12" style="1" customWidth="1"/>
    <col min="7436" max="7436" width="12.7109375" style="1" customWidth="1"/>
    <col min="7437" max="7438" width="12" style="1" customWidth="1"/>
    <col min="7439" max="7439" width="13" style="1" customWidth="1"/>
    <col min="7440" max="7440" width="12" style="1" customWidth="1"/>
    <col min="7441" max="7441" width="15" style="1" customWidth="1"/>
    <col min="7442" max="7442" width="14.140625" style="1" customWidth="1"/>
    <col min="7443" max="7444" width="12" style="1" customWidth="1"/>
    <col min="7445" max="7445" width="11.7109375" style="1" customWidth="1"/>
    <col min="7446" max="7447" width="11.42578125" style="1" customWidth="1"/>
    <col min="7448" max="7448" width="13" style="1" customWidth="1"/>
    <col min="7449" max="7454" width="11.42578125" style="1" customWidth="1"/>
    <col min="7455" max="7680" width="11.42578125" style="1"/>
    <col min="7681" max="7681" width="14.28515625" style="1" customWidth="1"/>
    <col min="7682" max="7682" width="32.85546875" style="1" customWidth="1"/>
    <col min="7683" max="7683" width="11.42578125" style="1" customWidth="1"/>
    <col min="7684" max="7685" width="12" style="1" customWidth="1"/>
    <col min="7686" max="7686" width="9" style="1" customWidth="1"/>
    <col min="7687" max="7688" width="12" style="1" customWidth="1"/>
    <col min="7689" max="7689" width="14.28515625" style="1" customWidth="1"/>
    <col min="7690" max="7691" width="12" style="1" customWidth="1"/>
    <col min="7692" max="7692" width="12.7109375" style="1" customWidth="1"/>
    <col min="7693" max="7694" width="12" style="1" customWidth="1"/>
    <col min="7695" max="7695" width="13" style="1" customWidth="1"/>
    <col min="7696" max="7696" width="12" style="1" customWidth="1"/>
    <col min="7697" max="7697" width="15" style="1" customWidth="1"/>
    <col min="7698" max="7698" width="14.140625" style="1" customWidth="1"/>
    <col min="7699" max="7700" width="12" style="1" customWidth="1"/>
    <col min="7701" max="7701" width="11.7109375" style="1" customWidth="1"/>
    <col min="7702" max="7703" width="11.42578125" style="1" customWidth="1"/>
    <col min="7704" max="7704" width="13" style="1" customWidth="1"/>
    <col min="7705" max="7710" width="11.42578125" style="1" customWidth="1"/>
    <col min="7711" max="7936" width="11.42578125" style="1"/>
    <col min="7937" max="7937" width="14.28515625" style="1" customWidth="1"/>
    <col min="7938" max="7938" width="32.85546875" style="1" customWidth="1"/>
    <col min="7939" max="7939" width="11.42578125" style="1" customWidth="1"/>
    <col min="7940" max="7941" width="12" style="1" customWidth="1"/>
    <col min="7942" max="7942" width="9" style="1" customWidth="1"/>
    <col min="7943" max="7944" width="12" style="1" customWidth="1"/>
    <col min="7945" max="7945" width="14.28515625" style="1" customWidth="1"/>
    <col min="7946" max="7947" width="12" style="1" customWidth="1"/>
    <col min="7948" max="7948" width="12.7109375" style="1" customWidth="1"/>
    <col min="7949" max="7950" width="12" style="1" customWidth="1"/>
    <col min="7951" max="7951" width="13" style="1" customWidth="1"/>
    <col min="7952" max="7952" width="12" style="1" customWidth="1"/>
    <col min="7953" max="7953" width="15" style="1" customWidth="1"/>
    <col min="7954" max="7954" width="14.140625" style="1" customWidth="1"/>
    <col min="7955" max="7956" width="12" style="1" customWidth="1"/>
    <col min="7957" max="7957" width="11.7109375" style="1" customWidth="1"/>
    <col min="7958" max="7959" width="11.42578125" style="1" customWidth="1"/>
    <col min="7960" max="7960" width="13" style="1" customWidth="1"/>
    <col min="7961" max="7966" width="11.42578125" style="1" customWidth="1"/>
    <col min="7967" max="8192" width="11.42578125" style="1"/>
    <col min="8193" max="8193" width="14.28515625" style="1" customWidth="1"/>
    <col min="8194" max="8194" width="32.85546875" style="1" customWidth="1"/>
    <col min="8195" max="8195" width="11.42578125" style="1" customWidth="1"/>
    <col min="8196" max="8197" width="12" style="1" customWidth="1"/>
    <col min="8198" max="8198" width="9" style="1" customWidth="1"/>
    <col min="8199" max="8200" width="12" style="1" customWidth="1"/>
    <col min="8201" max="8201" width="14.28515625" style="1" customWidth="1"/>
    <col min="8202" max="8203" width="12" style="1" customWidth="1"/>
    <col min="8204" max="8204" width="12.7109375" style="1" customWidth="1"/>
    <col min="8205" max="8206" width="12" style="1" customWidth="1"/>
    <col min="8207" max="8207" width="13" style="1" customWidth="1"/>
    <col min="8208" max="8208" width="12" style="1" customWidth="1"/>
    <col min="8209" max="8209" width="15" style="1" customWidth="1"/>
    <col min="8210" max="8210" width="14.140625" style="1" customWidth="1"/>
    <col min="8211" max="8212" width="12" style="1" customWidth="1"/>
    <col min="8213" max="8213" width="11.7109375" style="1" customWidth="1"/>
    <col min="8214" max="8215" width="11.42578125" style="1" customWidth="1"/>
    <col min="8216" max="8216" width="13" style="1" customWidth="1"/>
    <col min="8217" max="8222" width="11.42578125" style="1" customWidth="1"/>
    <col min="8223" max="8448" width="11.42578125" style="1"/>
    <col min="8449" max="8449" width="14.28515625" style="1" customWidth="1"/>
    <col min="8450" max="8450" width="32.85546875" style="1" customWidth="1"/>
    <col min="8451" max="8451" width="11.42578125" style="1" customWidth="1"/>
    <col min="8452" max="8453" width="12" style="1" customWidth="1"/>
    <col min="8454" max="8454" width="9" style="1" customWidth="1"/>
    <col min="8455" max="8456" width="12" style="1" customWidth="1"/>
    <col min="8457" max="8457" width="14.28515625" style="1" customWidth="1"/>
    <col min="8458" max="8459" width="12" style="1" customWidth="1"/>
    <col min="8460" max="8460" width="12.7109375" style="1" customWidth="1"/>
    <col min="8461" max="8462" width="12" style="1" customWidth="1"/>
    <col min="8463" max="8463" width="13" style="1" customWidth="1"/>
    <col min="8464" max="8464" width="12" style="1" customWidth="1"/>
    <col min="8465" max="8465" width="15" style="1" customWidth="1"/>
    <col min="8466" max="8466" width="14.140625" style="1" customWidth="1"/>
    <col min="8467" max="8468" width="12" style="1" customWidth="1"/>
    <col min="8469" max="8469" width="11.7109375" style="1" customWidth="1"/>
    <col min="8470" max="8471" width="11.42578125" style="1" customWidth="1"/>
    <col min="8472" max="8472" width="13" style="1" customWidth="1"/>
    <col min="8473" max="8478" width="11.42578125" style="1" customWidth="1"/>
    <col min="8479" max="8704" width="11.42578125" style="1"/>
    <col min="8705" max="8705" width="14.28515625" style="1" customWidth="1"/>
    <col min="8706" max="8706" width="32.85546875" style="1" customWidth="1"/>
    <col min="8707" max="8707" width="11.42578125" style="1" customWidth="1"/>
    <col min="8708" max="8709" width="12" style="1" customWidth="1"/>
    <col min="8710" max="8710" width="9" style="1" customWidth="1"/>
    <col min="8711" max="8712" width="12" style="1" customWidth="1"/>
    <col min="8713" max="8713" width="14.28515625" style="1" customWidth="1"/>
    <col min="8714" max="8715" width="12" style="1" customWidth="1"/>
    <col min="8716" max="8716" width="12.7109375" style="1" customWidth="1"/>
    <col min="8717" max="8718" width="12" style="1" customWidth="1"/>
    <col min="8719" max="8719" width="13" style="1" customWidth="1"/>
    <col min="8720" max="8720" width="12" style="1" customWidth="1"/>
    <col min="8721" max="8721" width="15" style="1" customWidth="1"/>
    <col min="8722" max="8722" width="14.140625" style="1" customWidth="1"/>
    <col min="8723" max="8724" width="12" style="1" customWidth="1"/>
    <col min="8725" max="8725" width="11.7109375" style="1" customWidth="1"/>
    <col min="8726" max="8727" width="11.42578125" style="1" customWidth="1"/>
    <col min="8728" max="8728" width="13" style="1" customWidth="1"/>
    <col min="8729" max="8734" width="11.42578125" style="1" customWidth="1"/>
    <col min="8735" max="8960" width="11.42578125" style="1"/>
    <col min="8961" max="8961" width="14.28515625" style="1" customWidth="1"/>
    <col min="8962" max="8962" width="32.85546875" style="1" customWidth="1"/>
    <col min="8963" max="8963" width="11.42578125" style="1" customWidth="1"/>
    <col min="8964" max="8965" width="12" style="1" customWidth="1"/>
    <col min="8966" max="8966" width="9" style="1" customWidth="1"/>
    <col min="8967" max="8968" width="12" style="1" customWidth="1"/>
    <col min="8969" max="8969" width="14.28515625" style="1" customWidth="1"/>
    <col min="8970" max="8971" width="12" style="1" customWidth="1"/>
    <col min="8972" max="8972" width="12.7109375" style="1" customWidth="1"/>
    <col min="8973" max="8974" width="12" style="1" customWidth="1"/>
    <col min="8975" max="8975" width="13" style="1" customWidth="1"/>
    <col min="8976" max="8976" width="12" style="1" customWidth="1"/>
    <col min="8977" max="8977" width="15" style="1" customWidth="1"/>
    <col min="8978" max="8978" width="14.140625" style="1" customWidth="1"/>
    <col min="8979" max="8980" width="12" style="1" customWidth="1"/>
    <col min="8981" max="8981" width="11.7109375" style="1" customWidth="1"/>
    <col min="8982" max="8983" width="11.42578125" style="1" customWidth="1"/>
    <col min="8984" max="8984" width="13" style="1" customWidth="1"/>
    <col min="8985" max="8990" width="11.42578125" style="1" customWidth="1"/>
    <col min="8991" max="9216" width="11.42578125" style="1"/>
    <col min="9217" max="9217" width="14.28515625" style="1" customWidth="1"/>
    <col min="9218" max="9218" width="32.85546875" style="1" customWidth="1"/>
    <col min="9219" max="9219" width="11.42578125" style="1" customWidth="1"/>
    <col min="9220" max="9221" width="12" style="1" customWidth="1"/>
    <col min="9222" max="9222" width="9" style="1" customWidth="1"/>
    <col min="9223" max="9224" width="12" style="1" customWidth="1"/>
    <col min="9225" max="9225" width="14.28515625" style="1" customWidth="1"/>
    <col min="9226" max="9227" width="12" style="1" customWidth="1"/>
    <col min="9228" max="9228" width="12.7109375" style="1" customWidth="1"/>
    <col min="9229" max="9230" width="12" style="1" customWidth="1"/>
    <col min="9231" max="9231" width="13" style="1" customWidth="1"/>
    <col min="9232" max="9232" width="12" style="1" customWidth="1"/>
    <col min="9233" max="9233" width="15" style="1" customWidth="1"/>
    <col min="9234" max="9234" width="14.140625" style="1" customWidth="1"/>
    <col min="9235" max="9236" width="12" style="1" customWidth="1"/>
    <col min="9237" max="9237" width="11.7109375" style="1" customWidth="1"/>
    <col min="9238" max="9239" width="11.42578125" style="1" customWidth="1"/>
    <col min="9240" max="9240" width="13" style="1" customWidth="1"/>
    <col min="9241" max="9246" width="11.42578125" style="1" customWidth="1"/>
    <col min="9247" max="9472" width="11.42578125" style="1"/>
    <col min="9473" max="9473" width="14.28515625" style="1" customWidth="1"/>
    <col min="9474" max="9474" width="32.85546875" style="1" customWidth="1"/>
    <col min="9475" max="9475" width="11.42578125" style="1" customWidth="1"/>
    <col min="9476" max="9477" width="12" style="1" customWidth="1"/>
    <col min="9478" max="9478" width="9" style="1" customWidth="1"/>
    <col min="9479" max="9480" width="12" style="1" customWidth="1"/>
    <col min="9481" max="9481" width="14.28515625" style="1" customWidth="1"/>
    <col min="9482" max="9483" width="12" style="1" customWidth="1"/>
    <col min="9484" max="9484" width="12.7109375" style="1" customWidth="1"/>
    <col min="9485" max="9486" width="12" style="1" customWidth="1"/>
    <col min="9487" max="9487" width="13" style="1" customWidth="1"/>
    <col min="9488" max="9488" width="12" style="1" customWidth="1"/>
    <col min="9489" max="9489" width="15" style="1" customWidth="1"/>
    <col min="9490" max="9490" width="14.140625" style="1" customWidth="1"/>
    <col min="9491" max="9492" width="12" style="1" customWidth="1"/>
    <col min="9493" max="9493" width="11.7109375" style="1" customWidth="1"/>
    <col min="9494" max="9495" width="11.42578125" style="1" customWidth="1"/>
    <col min="9496" max="9496" width="13" style="1" customWidth="1"/>
    <col min="9497" max="9502" width="11.42578125" style="1" customWidth="1"/>
    <col min="9503" max="9728" width="11.42578125" style="1"/>
    <col min="9729" max="9729" width="14.28515625" style="1" customWidth="1"/>
    <col min="9730" max="9730" width="32.85546875" style="1" customWidth="1"/>
    <col min="9731" max="9731" width="11.42578125" style="1" customWidth="1"/>
    <col min="9732" max="9733" width="12" style="1" customWidth="1"/>
    <col min="9734" max="9734" width="9" style="1" customWidth="1"/>
    <col min="9735" max="9736" width="12" style="1" customWidth="1"/>
    <col min="9737" max="9737" width="14.28515625" style="1" customWidth="1"/>
    <col min="9738" max="9739" width="12" style="1" customWidth="1"/>
    <col min="9740" max="9740" width="12.7109375" style="1" customWidth="1"/>
    <col min="9741" max="9742" width="12" style="1" customWidth="1"/>
    <col min="9743" max="9743" width="13" style="1" customWidth="1"/>
    <col min="9744" max="9744" width="12" style="1" customWidth="1"/>
    <col min="9745" max="9745" width="15" style="1" customWidth="1"/>
    <col min="9746" max="9746" width="14.140625" style="1" customWidth="1"/>
    <col min="9747" max="9748" width="12" style="1" customWidth="1"/>
    <col min="9749" max="9749" width="11.7109375" style="1" customWidth="1"/>
    <col min="9750" max="9751" width="11.42578125" style="1" customWidth="1"/>
    <col min="9752" max="9752" width="13" style="1" customWidth="1"/>
    <col min="9753" max="9758" width="11.42578125" style="1" customWidth="1"/>
    <col min="9759" max="9984" width="11.42578125" style="1"/>
    <col min="9985" max="9985" width="14.28515625" style="1" customWidth="1"/>
    <col min="9986" max="9986" width="32.85546875" style="1" customWidth="1"/>
    <col min="9987" max="9987" width="11.42578125" style="1" customWidth="1"/>
    <col min="9988" max="9989" width="12" style="1" customWidth="1"/>
    <col min="9990" max="9990" width="9" style="1" customWidth="1"/>
    <col min="9991" max="9992" width="12" style="1" customWidth="1"/>
    <col min="9993" max="9993" width="14.28515625" style="1" customWidth="1"/>
    <col min="9994" max="9995" width="12" style="1" customWidth="1"/>
    <col min="9996" max="9996" width="12.7109375" style="1" customWidth="1"/>
    <col min="9997" max="9998" width="12" style="1" customWidth="1"/>
    <col min="9999" max="9999" width="13" style="1" customWidth="1"/>
    <col min="10000" max="10000" width="12" style="1" customWidth="1"/>
    <col min="10001" max="10001" width="15" style="1" customWidth="1"/>
    <col min="10002" max="10002" width="14.140625" style="1" customWidth="1"/>
    <col min="10003" max="10004" width="12" style="1" customWidth="1"/>
    <col min="10005" max="10005" width="11.7109375" style="1" customWidth="1"/>
    <col min="10006" max="10007" width="11.42578125" style="1" customWidth="1"/>
    <col min="10008" max="10008" width="13" style="1" customWidth="1"/>
    <col min="10009" max="10014" width="11.42578125" style="1" customWidth="1"/>
    <col min="10015" max="10240" width="11.42578125" style="1"/>
    <col min="10241" max="10241" width="14.28515625" style="1" customWidth="1"/>
    <col min="10242" max="10242" width="32.85546875" style="1" customWidth="1"/>
    <col min="10243" max="10243" width="11.42578125" style="1" customWidth="1"/>
    <col min="10244" max="10245" width="12" style="1" customWidth="1"/>
    <col min="10246" max="10246" width="9" style="1" customWidth="1"/>
    <col min="10247" max="10248" width="12" style="1" customWidth="1"/>
    <col min="10249" max="10249" width="14.28515625" style="1" customWidth="1"/>
    <col min="10250" max="10251" width="12" style="1" customWidth="1"/>
    <col min="10252" max="10252" width="12.7109375" style="1" customWidth="1"/>
    <col min="10253" max="10254" width="12" style="1" customWidth="1"/>
    <col min="10255" max="10255" width="13" style="1" customWidth="1"/>
    <col min="10256" max="10256" width="12" style="1" customWidth="1"/>
    <col min="10257" max="10257" width="15" style="1" customWidth="1"/>
    <col min="10258" max="10258" width="14.140625" style="1" customWidth="1"/>
    <col min="10259" max="10260" width="12" style="1" customWidth="1"/>
    <col min="10261" max="10261" width="11.7109375" style="1" customWidth="1"/>
    <col min="10262" max="10263" width="11.42578125" style="1" customWidth="1"/>
    <col min="10264" max="10264" width="13" style="1" customWidth="1"/>
    <col min="10265" max="10270" width="11.42578125" style="1" customWidth="1"/>
    <col min="10271" max="10496" width="11.42578125" style="1"/>
    <col min="10497" max="10497" width="14.28515625" style="1" customWidth="1"/>
    <col min="10498" max="10498" width="32.85546875" style="1" customWidth="1"/>
    <col min="10499" max="10499" width="11.42578125" style="1" customWidth="1"/>
    <col min="10500" max="10501" width="12" style="1" customWidth="1"/>
    <col min="10502" max="10502" width="9" style="1" customWidth="1"/>
    <col min="10503" max="10504" width="12" style="1" customWidth="1"/>
    <col min="10505" max="10505" width="14.28515625" style="1" customWidth="1"/>
    <col min="10506" max="10507" width="12" style="1" customWidth="1"/>
    <col min="10508" max="10508" width="12.7109375" style="1" customWidth="1"/>
    <col min="10509" max="10510" width="12" style="1" customWidth="1"/>
    <col min="10511" max="10511" width="13" style="1" customWidth="1"/>
    <col min="10512" max="10512" width="12" style="1" customWidth="1"/>
    <col min="10513" max="10513" width="15" style="1" customWidth="1"/>
    <col min="10514" max="10514" width="14.140625" style="1" customWidth="1"/>
    <col min="10515" max="10516" width="12" style="1" customWidth="1"/>
    <col min="10517" max="10517" width="11.7109375" style="1" customWidth="1"/>
    <col min="10518" max="10519" width="11.42578125" style="1" customWidth="1"/>
    <col min="10520" max="10520" width="13" style="1" customWidth="1"/>
    <col min="10521" max="10526" width="11.42578125" style="1" customWidth="1"/>
    <col min="10527" max="10752" width="11.42578125" style="1"/>
    <col min="10753" max="10753" width="14.28515625" style="1" customWidth="1"/>
    <col min="10754" max="10754" width="32.85546875" style="1" customWidth="1"/>
    <col min="10755" max="10755" width="11.42578125" style="1" customWidth="1"/>
    <col min="10756" max="10757" width="12" style="1" customWidth="1"/>
    <col min="10758" max="10758" width="9" style="1" customWidth="1"/>
    <col min="10759" max="10760" width="12" style="1" customWidth="1"/>
    <col min="10761" max="10761" width="14.28515625" style="1" customWidth="1"/>
    <col min="10762" max="10763" width="12" style="1" customWidth="1"/>
    <col min="10764" max="10764" width="12.7109375" style="1" customWidth="1"/>
    <col min="10765" max="10766" width="12" style="1" customWidth="1"/>
    <col min="10767" max="10767" width="13" style="1" customWidth="1"/>
    <col min="10768" max="10768" width="12" style="1" customWidth="1"/>
    <col min="10769" max="10769" width="15" style="1" customWidth="1"/>
    <col min="10770" max="10770" width="14.140625" style="1" customWidth="1"/>
    <col min="10771" max="10772" width="12" style="1" customWidth="1"/>
    <col min="10773" max="10773" width="11.7109375" style="1" customWidth="1"/>
    <col min="10774" max="10775" width="11.42578125" style="1" customWidth="1"/>
    <col min="10776" max="10776" width="13" style="1" customWidth="1"/>
    <col min="10777" max="10782" width="11.42578125" style="1" customWidth="1"/>
    <col min="10783" max="11008" width="11.42578125" style="1"/>
    <col min="11009" max="11009" width="14.28515625" style="1" customWidth="1"/>
    <col min="11010" max="11010" width="32.85546875" style="1" customWidth="1"/>
    <col min="11011" max="11011" width="11.42578125" style="1" customWidth="1"/>
    <col min="11012" max="11013" width="12" style="1" customWidth="1"/>
    <col min="11014" max="11014" width="9" style="1" customWidth="1"/>
    <col min="11015" max="11016" width="12" style="1" customWidth="1"/>
    <col min="11017" max="11017" width="14.28515625" style="1" customWidth="1"/>
    <col min="11018" max="11019" width="12" style="1" customWidth="1"/>
    <col min="11020" max="11020" width="12.7109375" style="1" customWidth="1"/>
    <col min="11021" max="11022" width="12" style="1" customWidth="1"/>
    <col min="11023" max="11023" width="13" style="1" customWidth="1"/>
    <col min="11024" max="11024" width="12" style="1" customWidth="1"/>
    <col min="11025" max="11025" width="15" style="1" customWidth="1"/>
    <col min="11026" max="11026" width="14.140625" style="1" customWidth="1"/>
    <col min="11027" max="11028" width="12" style="1" customWidth="1"/>
    <col min="11029" max="11029" width="11.7109375" style="1" customWidth="1"/>
    <col min="11030" max="11031" width="11.42578125" style="1" customWidth="1"/>
    <col min="11032" max="11032" width="13" style="1" customWidth="1"/>
    <col min="11033" max="11038" width="11.42578125" style="1" customWidth="1"/>
    <col min="11039" max="11264" width="11.42578125" style="1"/>
    <col min="11265" max="11265" width="14.28515625" style="1" customWidth="1"/>
    <col min="11266" max="11266" width="32.85546875" style="1" customWidth="1"/>
    <col min="11267" max="11267" width="11.42578125" style="1" customWidth="1"/>
    <col min="11268" max="11269" width="12" style="1" customWidth="1"/>
    <col min="11270" max="11270" width="9" style="1" customWidth="1"/>
    <col min="11271" max="11272" width="12" style="1" customWidth="1"/>
    <col min="11273" max="11273" width="14.28515625" style="1" customWidth="1"/>
    <col min="11274" max="11275" width="12" style="1" customWidth="1"/>
    <col min="11276" max="11276" width="12.7109375" style="1" customWidth="1"/>
    <col min="11277" max="11278" width="12" style="1" customWidth="1"/>
    <col min="11279" max="11279" width="13" style="1" customWidth="1"/>
    <col min="11280" max="11280" width="12" style="1" customWidth="1"/>
    <col min="11281" max="11281" width="15" style="1" customWidth="1"/>
    <col min="11282" max="11282" width="14.140625" style="1" customWidth="1"/>
    <col min="11283" max="11284" width="12" style="1" customWidth="1"/>
    <col min="11285" max="11285" width="11.7109375" style="1" customWidth="1"/>
    <col min="11286" max="11287" width="11.42578125" style="1" customWidth="1"/>
    <col min="11288" max="11288" width="13" style="1" customWidth="1"/>
    <col min="11289" max="11294" width="11.42578125" style="1" customWidth="1"/>
    <col min="11295" max="11520" width="11.42578125" style="1"/>
    <col min="11521" max="11521" width="14.28515625" style="1" customWidth="1"/>
    <col min="11522" max="11522" width="32.85546875" style="1" customWidth="1"/>
    <col min="11523" max="11523" width="11.42578125" style="1" customWidth="1"/>
    <col min="11524" max="11525" width="12" style="1" customWidth="1"/>
    <col min="11526" max="11526" width="9" style="1" customWidth="1"/>
    <col min="11527" max="11528" width="12" style="1" customWidth="1"/>
    <col min="11529" max="11529" width="14.28515625" style="1" customWidth="1"/>
    <col min="11530" max="11531" width="12" style="1" customWidth="1"/>
    <col min="11532" max="11532" width="12.7109375" style="1" customWidth="1"/>
    <col min="11533" max="11534" width="12" style="1" customWidth="1"/>
    <col min="11535" max="11535" width="13" style="1" customWidth="1"/>
    <col min="11536" max="11536" width="12" style="1" customWidth="1"/>
    <col min="11537" max="11537" width="15" style="1" customWidth="1"/>
    <col min="11538" max="11538" width="14.140625" style="1" customWidth="1"/>
    <col min="11539" max="11540" width="12" style="1" customWidth="1"/>
    <col min="11541" max="11541" width="11.7109375" style="1" customWidth="1"/>
    <col min="11542" max="11543" width="11.42578125" style="1" customWidth="1"/>
    <col min="11544" max="11544" width="13" style="1" customWidth="1"/>
    <col min="11545" max="11550" width="11.42578125" style="1" customWidth="1"/>
    <col min="11551" max="11776" width="11.42578125" style="1"/>
    <col min="11777" max="11777" width="14.28515625" style="1" customWidth="1"/>
    <col min="11778" max="11778" width="32.85546875" style="1" customWidth="1"/>
    <col min="11779" max="11779" width="11.42578125" style="1" customWidth="1"/>
    <col min="11780" max="11781" width="12" style="1" customWidth="1"/>
    <col min="11782" max="11782" width="9" style="1" customWidth="1"/>
    <col min="11783" max="11784" width="12" style="1" customWidth="1"/>
    <col min="11785" max="11785" width="14.28515625" style="1" customWidth="1"/>
    <col min="11786" max="11787" width="12" style="1" customWidth="1"/>
    <col min="11788" max="11788" width="12.7109375" style="1" customWidth="1"/>
    <col min="11789" max="11790" width="12" style="1" customWidth="1"/>
    <col min="11791" max="11791" width="13" style="1" customWidth="1"/>
    <col min="11792" max="11792" width="12" style="1" customWidth="1"/>
    <col min="11793" max="11793" width="15" style="1" customWidth="1"/>
    <col min="11794" max="11794" width="14.140625" style="1" customWidth="1"/>
    <col min="11795" max="11796" width="12" style="1" customWidth="1"/>
    <col min="11797" max="11797" width="11.7109375" style="1" customWidth="1"/>
    <col min="11798" max="11799" width="11.42578125" style="1" customWidth="1"/>
    <col min="11800" max="11800" width="13" style="1" customWidth="1"/>
    <col min="11801" max="11806" width="11.42578125" style="1" customWidth="1"/>
    <col min="11807" max="12032" width="11.42578125" style="1"/>
    <col min="12033" max="12033" width="14.28515625" style="1" customWidth="1"/>
    <col min="12034" max="12034" width="32.85546875" style="1" customWidth="1"/>
    <col min="12035" max="12035" width="11.42578125" style="1" customWidth="1"/>
    <col min="12036" max="12037" width="12" style="1" customWidth="1"/>
    <col min="12038" max="12038" width="9" style="1" customWidth="1"/>
    <col min="12039" max="12040" width="12" style="1" customWidth="1"/>
    <col min="12041" max="12041" width="14.28515625" style="1" customWidth="1"/>
    <col min="12042" max="12043" width="12" style="1" customWidth="1"/>
    <col min="12044" max="12044" width="12.7109375" style="1" customWidth="1"/>
    <col min="12045" max="12046" width="12" style="1" customWidth="1"/>
    <col min="12047" max="12047" width="13" style="1" customWidth="1"/>
    <col min="12048" max="12048" width="12" style="1" customWidth="1"/>
    <col min="12049" max="12049" width="15" style="1" customWidth="1"/>
    <col min="12050" max="12050" width="14.140625" style="1" customWidth="1"/>
    <col min="12051" max="12052" width="12" style="1" customWidth="1"/>
    <col min="12053" max="12053" width="11.7109375" style="1" customWidth="1"/>
    <col min="12054" max="12055" width="11.42578125" style="1" customWidth="1"/>
    <col min="12056" max="12056" width="13" style="1" customWidth="1"/>
    <col min="12057" max="12062" width="11.42578125" style="1" customWidth="1"/>
    <col min="12063" max="12288" width="11.42578125" style="1"/>
    <col min="12289" max="12289" width="14.28515625" style="1" customWidth="1"/>
    <col min="12290" max="12290" width="32.85546875" style="1" customWidth="1"/>
    <col min="12291" max="12291" width="11.42578125" style="1" customWidth="1"/>
    <col min="12292" max="12293" width="12" style="1" customWidth="1"/>
    <col min="12294" max="12294" width="9" style="1" customWidth="1"/>
    <col min="12295" max="12296" width="12" style="1" customWidth="1"/>
    <col min="12297" max="12297" width="14.28515625" style="1" customWidth="1"/>
    <col min="12298" max="12299" width="12" style="1" customWidth="1"/>
    <col min="12300" max="12300" width="12.7109375" style="1" customWidth="1"/>
    <col min="12301" max="12302" width="12" style="1" customWidth="1"/>
    <col min="12303" max="12303" width="13" style="1" customWidth="1"/>
    <col min="12304" max="12304" width="12" style="1" customWidth="1"/>
    <col min="12305" max="12305" width="15" style="1" customWidth="1"/>
    <col min="12306" max="12306" width="14.140625" style="1" customWidth="1"/>
    <col min="12307" max="12308" width="12" style="1" customWidth="1"/>
    <col min="12309" max="12309" width="11.7109375" style="1" customWidth="1"/>
    <col min="12310" max="12311" width="11.42578125" style="1" customWidth="1"/>
    <col min="12312" max="12312" width="13" style="1" customWidth="1"/>
    <col min="12313" max="12318" width="11.42578125" style="1" customWidth="1"/>
    <col min="12319" max="12544" width="11.42578125" style="1"/>
    <col min="12545" max="12545" width="14.28515625" style="1" customWidth="1"/>
    <col min="12546" max="12546" width="32.85546875" style="1" customWidth="1"/>
    <col min="12547" max="12547" width="11.42578125" style="1" customWidth="1"/>
    <col min="12548" max="12549" width="12" style="1" customWidth="1"/>
    <col min="12550" max="12550" width="9" style="1" customWidth="1"/>
    <col min="12551" max="12552" width="12" style="1" customWidth="1"/>
    <col min="12553" max="12553" width="14.28515625" style="1" customWidth="1"/>
    <col min="12554" max="12555" width="12" style="1" customWidth="1"/>
    <col min="12556" max="12556" width="12.7109375" style="1" customWidth="1"/>
    <col min="12557" max="12558" width="12" style="1" customWidth="1"/>
    <col min="12559" max="12559" width="13" style="1" customWidth="1"/>
    <col min="12560" max="12560" width="12" style="1" customWidth="1"/>
    <col min="12561" max="12561" width="15" style="1" customWidth="1"/>
    <col min="12562" max="12562" width="14.140625" style="1" customWidth="1"/>
    <col min="12563" max="12564" width="12" style="1" customWidth="1"/>
    <col min="12565" max="12565" width="11.7109375" style="1" customWidth="1"/>
    <col min="12566" max="12567" width="11.42578125" style="1" customWidth="1"/>
    <col min="12568" max="12568" width="13" style="1" customWidth="1"/>
    <col min="12569" max="12574" width="11.42578125" style="1" customWidth="1"/>
    <col min="12575" max="12800" width="11.42578125" style="1"/>
    <col min="12801" max="12801" width="14.28515625" style="1" customWidth="1"/>
    <col min="12802" max="12802" width="32.85546875" style="1" customWidth="1"/>
    <col min="12803" max="12803" width="11.42578125" style="1" customWidth="1"/>
    <col min="12804" max="12805" width="12" style="1" customWidth="1"/>
    <col min="12806" max="12806" width="9" style="1" customWidth="1"/>
    <col min="12807" max="12808" width="12" style="1" customWidth="1"/>
    <col min="12809" max="12809" width="14.28515625" style="1" customWidth="1"/>
    <col min="12810" max="12811" width="12" style="1" customWidth="1"/>
    <col min="12812" max="12812" width="12.7109375" style="1" customWidth="1"/>
    <col min="12813" max="12814" width="12" style="1" customWidth="1"/>
    <col min="12815" max="12815" width="13" style="1" customWidth="1"/>
    <col min="12816" max="12816" width="12" style="1" customWidth="1"/>
    <col min="12817" max="12817" width="15" style="1" customWidth="1"/>
    <col min="12818" max="12818" width="14.140625" style="1" customWidth="1"/>
    <col min="12819" max="12820" width="12" style="1" customWidth="1"/>
    <col min="12821" max="12821" width="11.7109375" style="1" customWidth="1"/>
    <col min="12822" max="12823" width="11.42578125" style="1" customWidth="1"/>
    <col min="12824" max="12824" width="13" style="1" customWidth="1"/>
    <col min="12825" max="12830" width="11.42578125" style="1" customWidth="1"/>
    <col min="12831" max="13056" width="11.42578125" style="1"/>
    <col min="13057" max="13057" width="14.28515625" style="1" customWidth="1"/>
    <col min="13058" max="13058" width="32.85546875" style="1" customWidth="1"/>
    <col min="13059" max="13059" width="11.42578125" style="1" customWidth="1"/>
    <col min="13060" max="13061" width="12" style="1" customWidth="1"/>
    <col min="13062" max="13062" width="9" style="1" customWidth="1"/>
    <col min="13063" max="13064" width="12" style="1" customWidth="1"/>
    <col min="13065" max="13065" width="14.28515625" style="1" customWidth="1"/>
    <col min="13066" max="13067" width="12" style="1" customWidth="1"/>
    <col min="13068" max="13068" width="12.7109375" style="1" customWidth="1"/>
    <col min="13069" max="13070" width="12" style="1" customWidth="1"/>
    <col min="13071" max="13071" width="13" style="1" customWidth="1"/>
    <col min="13072" max="13072" width="12" style="1" customWidth="1"/>
    <col min="13073" max="13073" width="15" style="1" customWidth="1"/>
    <col min="13074" max="13074" width="14.140625" style="1" customWidth="1"/>
    <col min="13075" max="13076" width="12" style="1" customWidth="1"/>
    <col min="13077" max="13077" width="11.7109375" style="1" customWidth="1"/>
    <col min="13078" max="13079" width="11.42578125" style="1" customWidth="1"/>
    <col min="13080" max="13080" width="13" style="1" customWidth="1"/>
    <col min="13081" max="13086" width="11.42578125" style="1" customWidth="1"/>
    <col min="13087" max="13312" width="11.42578125" style="1"/>
    <col min="13313" max="13313" width="14.28515625" style="1" customWidth="1"/>
    <col min="13314" max="13314" width="32.85546875" style="1" customWidth="1"/>
    <col min="13315" max="13315" width="11.42578125" style="1" customWidth="1"/>
    <col min="13316" max="13317" width="12" style="1" customWidth="1"/>
    <col min="13318" max="13318" width="9" style="1" customWidth="1"/>
    <col min="13319" max="13320" width="12" style="1" customWidth="1"/>
    <col min="13321" max="13321" width="14.28515625" style="1" customWidth="1"/>
    <col min="13322" max="13323" width="12" style="1" customWidth="1"/>
    <col min="13324" max="13324" width="12.7109375" style="1" customWidth="1"/>
    <col min="13325" max="13326" width="12" style="1" customWidth="1"/>
    <col min="13327" max="13327" width="13" style="1" customWidth="1"/>
    <col min="13328" max="13328" width="12" style="1" customWidth="1"/>
    <col min="13329" max="13329" width="15" style="1" customWidth="1"/>
    <col min="13330" max="13330" width="14.140625" style="1" customWidth="1"/>
    <col min="13331" max="13332" width="12" style="1" customWidth="1"/>
    <col min="13333" max="13333" width="11.7109375" style="1" customWidth="1"/>
    <col min="13334" max="13335" width="11.42578125" style="1" customWidth="1"/>
    <col min="13336" max="13336" width="13" style="1" customWidth="1"/>
    <col min="13337" max="13342" width="11.42578125" style="1" customWidth="1"/>
    <col min="13343" max="13568" width="11.42578125" style="1"/>
    <col min="13569" max="13569" width="14.28515625" style="1" customWidth="1"/>
    <col min="13570" max="13570" width="32.85546875" style="1" customWidth="1"/>
    <col min="13571" max="13571" width="11.42578125" style="1" customWidth="1"/>
    <col min="13572" max="13573" width="12" style="1" customWidth="1"/>
    <col min="13574" max="13574" width="9" style="1" customWidth="1"/>
    <col min="13575" max="13576" width="12" style="1" customWidth="1"/>
    <col min="13577" max="13577" width="14.28515625" style="1" customWidth="1"/>
    <col min="13578" max="13579" width="12" style="1" customWidth="1"/>
    <col min="13580" max="13580" width="12.7109375" style="1" customWidth="1"/>
    <col min="13581" max="13582" width="12" style="1" customWidth="1"/>
    <col min="13583" max="13583" width="13" style="1" customWidth="1"/>
    <col min="13584" max="13584" width="12" style="1" customWidth="1"/>
    <col min="13585" max="13585" width="15" style="1" customWidth="1"/>
    <col min="13586" max="13586" width="14.140625" style="1" customWidth="1"/>
    <col min="13587" max="13588" width="12" style="1" customWidth="1"/>
    <col min="13589" max="13589" width="11.7109375" style="1" customWidth="1"/>
    <col min="13590" max="13591" width="11.42578125" style="1" customWidth="1"/>
    <col min="13592" max="13592" width="13" style="1" customWidth="1"/>
    <col min="13593" max="13598" width="11.42578125" style="1" customWidth="1"/>
    <col min="13599" max="13824" width="11.42578125" style="1"/>
    <col min="13825" max="13825" width="14.28515625" style="1" customWidth="1"/>
    <col min="13826" max="13826" width="32.85546875" style="1" customWidth="1"/>
    <col min="13827" max="13827" width="11.42578125" style="1" customWidth="1"/>
    <col min="13828" max="13829" width="12" style="1" customWidth="1"/>
    <col min="13830" max="13830" width="9" style="1" customWidth="1"/>
    <col min="13831" max="13832" width="12" style="1" customWidth="1"/>
    <col min="13833" max="13833" width="14.28515625" style="1" customWidth="1"/>
    <col min="13834" max="13835" width="12" style="1" customWidth="1"/>
    <col min="13836" max="13836" width="12.7109375" style="1" customWidth="1"/>
    <col min="13837" max="13838" width="12" style="1" customWidth="1"/>
    <col min="13839" max="13839" width="13" style="1" customWidth="1"/>
    <col min="13840" max="13840" width="12" style="1" customWidth="1"/>
    <col min="13841" max="13841" width="15" style="1" customWidth="1"/>
    <col min="13842" max="13842" width="14.140625" style="1" customWidth="1"/>
    <col min="13843" max="13844" width="12" style="1" customWidth="1"/>
    <col min="13845" max="13845" width="11.7109375" style="1" customWidth="1"/>
    <col min="13846" max="13847" width="11.42578125" style="1" customWidth="1"/>
    <col min="13848" max="13848" width="13" style="1" customWidth="1"/>
    <col min="13849" max="13854" width="11.42578125" style="1" customWidth="1"/>
    <col min="13855" max="14080" width="11.42578125" style="1"/>
    <col min="14081" max="14081" width="14.28515625" style="1" customWidth="1"/>
    <col min="14082" max="14082" width="32.85546875" style="1" customWidth="1"/>
    <col min="14083" max="14083" width="11.42578125" style="1" customWidth="1"/>
    <col min="14084" max="14085" width="12" style="1" customWidth="1"/>
    <col min="14086" max="14086" width="9" style="1" customWidth="1"/>
    <col min="14087" max="14088" width="12" style="1" customWidth="1"/>
    <col min="14089" max="14089" width="14.28515625" style="1" customWidth="1"/>
    <col min="14090" max="14091" width="12" style="1" customWidth="1"/>
    <col min="14092" max="14092" width="12.7109375" style="1" customWidth="1"/>
    <col min="14093" max="14094" width="12" style="1" customWidth="1"/>
    <col min="14095" max="14095" width="13" style="1" customWidth="1"/>
    <col min="14096" max="14096" width="12" style="1" customWidth="1"/>
    <col min="14097" max="14097" width="15" style="1" customWidth="1"/>
    <col min="14098" max="14098" width="14.140625" style="1" customWidth="1"/>
    <col min="14099" max="14100" width="12" style="1" customWidth="1"/>
    <col min="14101" max="14101" width="11.7109375" style="1" customWidth="1"/>
    <col min="14102" max="14103" width="11.42578125" style="1" customWidth="1"/>
    <col min="14104" max="14104" width="13" style="1" customWidth="1"/>
    <col min="14105" max="14110" width="11.42578125" style="1" customWidth="1"/>
    <col min="14111" max="14336" width="11.42578125" style="1"/>
    <col min="14337" max="14337" width="14.28515625" style="1" customWidth="1"/>
    <col min="14338" max="14338" width="32.85546875" style="1" customWidth="1"/>
    <col min="14339" max="14339" width="11.42578125" style="1" customWidth="1"/>
    <col min="14340" max="14341" width="12" style="1" customWidth="1"/>
    <col min="14342" max="14342" width="9" style="1" customWidth="1"/>
    <col min="14343" max="14344" width="12" style="1" customWidth="1"/>
    <col min="14345" max="14345" width="14.28515625" style="1" customWidth="1"/>
    <col min="14346" max="14347" width="12" style="1" customWidth="1"/>
    <col min="14348" max="14348" width="12.7109375" style="1" customWidth="1"/>
    <col min="14349" max="14350" width="12" style="1" customWidth="1"/>
    <col min="14351" max="14351" width="13" style="1" customWidth="1"/>
    <col min="14352" max="14352" width="12" style="1" customWidth="1"/>
    <col min="14353" max="14353" width="15" style="1" customWidth="1"/>
    <col min="14354" max="14354" width="14.140625" style="1" customWidth="1"/>
    <col min="14355" max="14356" width="12" style="1" customWidth="1"/>
    <col min="14357" max="14357" width="11.7109375" style="1" customWidth="1"/>
    <col min="14358" max="14359" width="11.42578125" style="1" customWidth="1"/>
    <col min="14360" max="14360" width="13" style="1" customWidth="1"/>
    <col min="14361" max="14366" width="11.42578125" style="1" customWidth="1"/>
    <col min="14367" max="14592" width="11.42578125" style="1"/>
    <col min="14593" max="14593" width="14.28515625" style="1" customWidth="1"/>
    <col min="14594" max="14594" width="32.85546875" style="1" customWidth="1"/>
    <col min="14595" max="14595" width="11.42578125" style="1" customWidth="1"/>
    <col min="14596" max="14597" width="12" style="1" customWidth="1"/>
    <col min="14598" max="14598" width="9" style="1" customWidth="1"/>
    <col min="14599" max="14600" width="12" style="1" customWidth="1"/>
    <col min="14601" max="14601" width="14.28515625" style="1" customWidth="1"/>
    <col min="14602" max="14603" width="12" style="1" customWidth="1"/>
    <col min="14604" max="14604" width="12.7109375" style="1" customWidth="1"/>
    <col min="14605" max="14606" width="12" style="1" customWidth="1"/>
    <col min="14607" max="14607" width="13" style="1" customWidth="1"/>
    <col min="14608" max="14608" width="12" style="1" customWidth="1"/>
    <col min="14609" max="14609" width="15" style="1" customWidth="1"/>
    <col min="14610" max="14610" width="14.140625" style="1" customWidth="1"/>
    <col min="14611" max="14612" width="12" style="1" customWidth="1"/>
    <col min="14613" max="14613" width="11.7109375" style="1" customWidth="1"/>
    <col min="14614" max="14615" width="11.42578125" style="1" customWidth="1"/>
    <col min="14616" max="14616" width="13" style="1" customWidth="1"/>
    <col min="14617" max="14622" width="11.42578125" style="1" customWidth="1"/>
    <col min="14623" max="14848" width="11.42578125" style="1"/>
    <col min="14849" max="14849" width="14.28515625" style="1" customWidth="1"/>
    <col min="14850" max="14850" width="32.85546875" style="1" customWidth="1"/>
    <col min="14851" max="14851" width="11.42578125" style="1" customWidth="1"/>
    <col min="14852" max="14853" width="12" style="1" customWidth="1"/>
    <col min="14854" max="14854" width="9" style="1" customWidth="1"/>
    <col min="14855" max="14856" width="12" style="1" customWidth="1"/>
    <col min="14857" max="14857" width="14.28515625" style="1" customWidth="1"/>
    <col min="14858" max="14859" width="12" style="1" customWidth="1"/>
    <col min="14860" max="14860" width="12.7109375" style="1" customWidth="1"/>
    <col min="14861" max="14862" width="12" style="1" customWidth="1"/>
    <col min="14863" max="14863" width="13" style="1" customWidth="1"/>
    <col min="14864" max="14864" width="12" style="1" customWidth="1"/>
    <col min="14865" max="14865" width="15" style="1" customWidth="1"/>
    <col min="14866" max="14866" width="14.140625" style="1" customWidth="1"/>
    <col min="14867" max="14868" width="12" style="1" customWidth="1"/>
    <col min="14869" max="14869" width="11.7109375" style="1" customWidth="1"/>
    <col min="14870" max="14871" width="11.42578125" style="1" customWidth="1"/>
    <col min="14872" max="14872" width="13" style="1" customWidth="1"/>
    <col min="14873" max="14878" width="11.42578125" style="1" customWidth="1"/>
    <col min="14879" max="15104" width="11.42578125" style="1"/>
    <col min="15105" max="15105" width="14.28515625" style="1" customWidth="1"/>
    <col min="15106" max="15106" width="32.85546875" style="1" customWidth="1"/>
    <col min="15107" max="15107" width="11.42578125" style="1" customWidth="1"/>
    <col min="15108" max="15109" width="12" style="1" customWidth="1"/>
    <col min="15110" max="15110" width="9" style="1" customWidth="1"/>
    <col min="15111" max="15112" width="12" style="1" customWidth="1"/>
    <col min="15113" max="15113" width="14.28515625" style="1" customWidth="1"/>
    <col min="15114" max="15115" width="12" style="1" customWidth="1"/>
    <col min="15116" max="15116" width="12.7109375" style="1" customWidth="1"/>
    <col min="15117" max="15118" width="12" style="1" customWidth="1"/>
    <col min="15119" max="15119" width="13" style="1" customWidth="1"/>
    <col min="15120" max="15120" width="12" style="1" customWidth="1"/>
    <col min="15121" max="15121" width="15" style="1" customWidth="1"/>
    <col min="15122" max="15122" width="14.140625" style="1" customWidth="1"/>
    <col min="15123" max="15124" width="12" style="1" customWidth="1"/>
    <col min="15125" max="15125" width="11.7109375" style="1" customWidth="1"/>
    <col min="15126" max="15127" width="11.42578125" style="1" customWidth="1"/>
    <col min="15128" max="15128" width="13" style="1" customWidth="1"/>
    <col min="15129" max="15134" width="11.42578125" style="1" customWidth="1"/>
    <col min="15135" max="15360" width="11.42578125" style="1"/>
    <col min="15361" max="15361" width="14.28515625" style="1" customWidth="1"/>
    <col min="15362" max="15362" width="32.85546875" style="1" customWidth="1"/>
    <col min="15363" max="15363" width="11.42578125" style="1" customWidth="1"/>
    <col min="15364" max="15365" width="12" style="1" customWidth="1"/>
    <col min="15366" max="15366" width="9" style="1" customWidth="1"/>
    <col min="15367" max="15368" width="12" style="1" customWidth="1"/>
    <col min="15369" max="15369" width="14.28515625" style="1" customWidth="1"/>
    <col min="15370" max="15371" width="12" style="1" customWidth="1"/>
    <col min="15372" max="15372" width="12.7109375" style="1" customWidth="1"/>
    <col min="15373" max="15374" width="12" style="1" customWidth="1"/>
    <col min="15375" max="15375" width="13" style="1" customWidth="1"/>
    <col min="15376" max="15376" width="12" style="1" customWidth="1"/>
    <col min="15377" max="15377" width="15" style="1" customWidth="1"/>
    <col min="15378" max="15378" width="14.140625" style="1" customWidth="1"/>
    <col min="15379" max="15380" width="12" style="1" customWidth="1"/>
    <col min="15381" max="15381" width="11.7109375" style="1" customWidth="1"/>
    <col min="15382" max="15383" width="11.42578125" style="1" customWidth="1"/>
    <col min="15384" max="15384" width="13" style="1" customWidth="1"/>
    <col min="15385" max="15390" width="11.42578125" style="1" customWidth="1"/>
    <col min="15391" max="15616" width="11.42578125" style="1"/>
    <col min="15617" max="15617" width="14.28515625" style="1" customWidth="1"/>
    <col min="15618" max="15618" width="32.85546875" style="1" customWidth="1"/>
    <col min="15619" max="15619" width="11.42578125" style="1" customWidth="1"/>
    <col min="15620" max="15621" width="12" style="1" customWidth="1"/>
    <col min="15622" max="15622" width="9" style="1" customWidth="1"/>
    <col min="15623" max="15624" width="12" style="1" customWidth="1"/>
    <col min="15625" max="15625" width="14.28515625" style="1" customWidth="1"/>
    <col min="15626" max="15627" width="12" style="1" customWidth="1"/>
    <col min="15628" max="15628" width="12.7109375" style="1" customWidth="1"/>
    <col min="15629" max="15630" width="12" style="1" customWidth="1"/>
    <col min="15631" max="15631" width="13" style="1" customWidth="1"/>
    <col min="15632" max="15632" width="12" style="1" customWidth="1"/>
    <col min="15633" max="15633" width="15" style="1" customWidth="1"/>
    <col min="15634" max="15634" width="14.140625" style="1" customWidth="1"/>
    <col min="15635" max="15636" width="12" style="1" customWidth="1"/>
    <col min="15637" max="15637" width="11.7109375" style="1" customWidth="1"/>
    <col min="15638" max="15639" width="11.42578125" style="1" customWidth="1"/>
    <col min="15640" max="15640" width="13" style="1" customWidth="1"/>
    <col min="15641" max="15646" width="11.42578125" style="1" customWidth="1"/>
    <col min="15647" max="15872" width="11.42578125" style="1"/>
    <col min="15873" max="15873" width="14.28515625" style="1" customWidth="1"/>
    <col min="15874" max="15874" width="32.85546875" style="1" customWidth="1"/>
    <col min="15875" max="15875" width="11.42578125" style="1" customWidth="1"/>
    <col min="15876" max="15877" width="12" style="1" customWidth="1"/>
    <col min="15878" max="15878" width="9" style="1" customWidth="1"/>
    <col min="15879" max="15880" width="12" style="1" customWidth="1"/>
    <col min="15881" max="15881" width="14.28515625" style="1" customWidth="1"/>
    <col min="15882" max="15883" width="12" style="1" customWidth="1"/>
    <col min="15884" max="15884" width="12.7109375" style="1" customWidth="1"/>
    <col min="15885" max="15886" width="12" style="1" customWidth="1"/>
    <col min="15887" max="15887" width="13" style="1" customWidth="1"/>
    <col min="15888" max="15888" width="12" style="1" customWidth="1"/>
    <col min="15889" max="15889" width="15" style="1" customWidth="1"/>
    <col min="15890" max="15890" width="14.140625" style="1" customWidth="1"/>
    <col min="15891" max="15892" width="12" style="1" customWidth="1"/>
    <col min="15893" max="15893" width="11.7109375" style="1" customWidth="1"/>
    <col min="15894" max="15895" width="11.42578125" style="1" customWidth="1"/>
    <col min="15896" max="15896" width="13" style="1" customWidth="1"/>
    <col min="15897" max="15902" width="11.42578125" style="1" customWidth="1"/>
    <col min="15903" max="16128" width="11.42578125" style="1"/>
    <col min="16129" max="16129" width="14.28515625" style="1" customWidth="1"/>
    <col min="16130" max="16130" width="32.85546875" style="1" customWidth="1"/>
    <col min="16131" max="16131" width="11.42578125" style="1" customWidth="1"/>
    <col min="16132" max="16133" width="12" style="1" customWidth="1"/>
    <col min="16134" max="16134" width="9" style="1" customWidth="1"/>
    <col min="16135" max="16136" width="12" style="1" customWidth="1"/>
    <col min="16137" max="16137" width="14.28515625" style="1" customWidth="1"/>
    <col min="16138" max="16139" width="12" style="1" customWidth="1"/>
    <col min="16140" max="16140" width="12.7109375" style="1" customWidth="1"/>
    <col min="16141" max="16142" width="12" style="1" customWidth="1"/>
    <col min="16143" max="16143" width="13" style="1" customWidth="1"/>
    <col min="16144" max="16144" width="12" style="1" customWidth="1"/>
    <col min="16145" max="16145" width="15" style="1" customWidth="1"/>
    <col min="16146" max="16146" width="14.140625" style="1" customWidth="1"/>
    <col min="16147" max="16148" width="12" style="1" customWidth="1"/>
    <col min="16149" max="16149" width="11.7109375" style="1" customWidth="1"/>
    <col min="16150" max="16151" width="11.42578125" style="1" customWidth="1"/>
    <col min="16152" max="16152" width="13" style="1" customWidth="1"/>
    <col min="16153" max="16158" width="11.42578125" style="1" customWidth="1"/>
    <col min="16159" max="16384" width="11.42578125" style="1"/>
  </cols>
  <sheetData>
    <row r="1" spans="1:39" s="2" customFormat="1" ht="25.5" x14ac:dyDescent="0.25">
      <c r="A1" s="143" t="s">
        <v>10</v>
      </c>
      <c r="B1" s="144"/>
      <c r="C1" s="141" t="s">
        <v>11</v>
      </c>
      <c r="D1" s="14" t="s">
        <v>12</v>
      </c>
      <c r="E1" s="14" t="s">
        <v>13</v>
      </c>
      <c r="F1" s="14" t="s">
        <v>0</v>
      </c>
      <c r="G1" s="23" t="s">
        <v>12</v>
      </c>
      <c r="H1" s="23" t="s">
        <v>13</v>
      </c>
      <c r="I1" s="24" t="s">
        <v>0</v>
      </c>
      <c r="J1" s="14" t="s">
        <v>12</v>
      </c>
      <c r="K1" s="14" t="s">
        <v>13</v>
      </c>
      <c r="L1" s="16" t="s">
        <v>0</v>
      </c>
      <c r="M1" s="23" t="s">
        <v>12</v>
      </c>
      <c r="N1" s="23" t="s">
        <v>13</v>
      </c>
      <c r="O1" s="25" t="s">
        <v>0</v>
      </c>
      <c r="P1" s="14" t="s">
        <v>12</v>
      </c>
      <c r="Q1" s="14" t="s">
        <v>13</v>
      </c>
      <c r="R1" s="15" t="s">
        <v>0</v>
      </c>
      <c r="S1" s="23" t="s">
        <v>12</v>
      </c>
      <c r="T1" s="23" t="s">
        <v>13</v>
      </c>
      <c r="U1" s="23" t="s">
        <v>0</v>
      </c>
      <c r="V1" s="14" t="s">
        <v>12</v>
      </c>
      <c r="W1" s="14" t="s">
        <v>13</v>
      </c>
      <c r="X1" s="14" t="s">
        <v>0</v>
      </c>
      <c r="Y1" s="23" t="s">
        <v>12</v>
      </c>
      <c r="Z1" s="23" t="s">
        <v>13</v>
      </c>
      <c r="AA1" s="23" t="s">
        <v>0</v>
      </c>
      <c r="AB1" s="14" t="s">
        <v>12</v>
      </c>
      <c r="AC1" s="14" t="s">
        <v>13</v>
      </c>
      <c r="AD1" s="14" t="s">
        <v>0</v>
      </c>
      <c r="AE1" s="23" t="s">
        <v>12</v>
      </c>
      <c r="AF1" s="23" t="s">
        <v>13</v>
      </c>
      <c r="AG1" s="23" t="s">
        <v>0</v>
      </c>
      <c r="AH1" s="14" t="s">
        <v>12</v>
      </c>
      <c r="AI1" s="14" t="s">
        <v>13</v>
      </c>
      <c r="AJ1" s="14" t="s">
        <v>0</v>
      </c>
      <c r="AK1" s="107" t="s">
        <v>12</v>
      </c>
      <c r="AL1" s="107" t="s">
        <v>13</v>
      </c>
      <c r="AM1" s="107" t="s">
        <v>0</v>
      </c>
    </row>
    <row r="2" spans="1:39" s="2" customFormat="1" ht="15" x14ac:dyDescent="0.25">
      <c r="A2" s="145"/>
      <c r="B2" s="146"/>
      <c r="C2" s="141"/>
      <c r="D2" s="142" t="s">
        <v>14</v>
      </c>
      <c r="E2" s="136"/>
      <c r="F2" s="137"/>
      <c r="G2" s="138" t="s">
        <v>15</v>
      </c>
      <c r="H2" s="139"/>
      <c r="I2" s="140"/>
      <c r="J2" s="135" t="s">
        <v>16</v>
      </c>
      <c r="K2" s="136"/>
      <c r="L2" s="137"/>
      <c r="M2" s="138" t="s">
        <v>17</v>
      </c>
      <c r="N2" s="139"/>
      <c r="O2" s="140"/>
      <c r="P2" s="135" t="s">
        <v>18</v>
      </c>
      <c r="Q2" s="136"/>
      <c r="R2" s="137"/>
      <c r="S2" s="138" t="s">
        <v>19</v>
      </c>
      <c r="T2" s="139"/>
      <c r="U2" s="140"/>
      <c r="V2" s="135" t="s">
        <v>20</v>
      </c>
      <c r="W2" s="136"/>
      <c r="X2" s="137"/>
      <c r="Y2" s="138" t="s">
        <v>21</v>
      </c>
      <c r="Z2" s="139"/>
      <c r="AA2" s="140"/>
      <c r="AB2" s="135" t="s">
        <v>22</v>
      </c>
      <c r="AC2" s="136"/>
      <c r="AD2" s="137"/>
      <c r="AE2" s="138" t="s">
        <v>112</v>
      </c>
      <c r="AF2" s="139"/>
      <c r="AG2" s="140"/>
      <c r="AH2" s="135" t="s">
        <v>113</v>
      </c>
      <c r="AI2" s="136"/>
      <c r="AJ2" s="137"/>
      <c r="AK2" s="138" t="s">
        <v>114</v>
      </c>
      <c r="AL2" s="139"/>
      <c r="AM2" s="140"/>
    </row>
    <row r="3" spans="1:39" s="2" customFormat="1" ht="15" x14ac:dyDescent="0.25">
      <c r="A3" s="59" t="s">
        <v>25</v>
      </c>
      <c r="B3" s="59" t="s">
        <v>75</v>
      </c>
      <c r="C3" s="6">
        <v>212976</v>
      </c>
      <c r="D3" s="6">
        <v>218923</v>
      </c>
      <c r="E3" s="3">
        <f>D3-C3</f>
        <v>5947</v>
      </c>
      <c r="F3" s="4">
        <f>E3*50</f>
        <v>297350</v>
      </c>
      <c r="G3" s="6">
        <v>218923</v>
      </c>
      <c r="H3" s="3">
        <f>D3-G3</f>
        <v>0</v>
      </c>
      <c r="I3" s="4">
        <f>H3*50</f>
        <v>0</v>
      </c>
      <c r="J3" s="6">
        <v>218923</v>
      </c>
      <c r="K3" s="3">
        <f>J3-G3</f>
        <v>0</v>
      </c>
      <c r="L3" s="4">
        <f>K3*50</f>
        <v>0</v>
      </c>
      <c r="M3" s="7">
        <v>230956</v>
      </c>
      <c r="N3" s="3">
        <f>M3-J3</f>
        <v>12033</v>
      </c>
      <c r="O3" s="5">
        <f>N3*50</f>
        <v>601650</v>
      </c>
      <c r="P3" s="7">
        <v>233918</v>
      </c>
      <c r="Q3" s="3">
        <f t="shared" ref="Q3" si="0">P3-M3</f>
        <v>2962</v>
      </c>
      <c r="R3" s="5">
        <f>Q3*50</f>
        <v>148100</v>
      </c>
      <c r="S3" s="7">
        <v>237965</v>
      </c>
      <c r="T3" s="3">
        <f>+S3-P3</f>
        <v>4047</v>
      </c>
      <c r="U3" s="5">
        <f>T3*50</f>
        <v>202350</v>
      </c>
      <c r="V3" s="8">
        <v>243071</v>
      </c>
      <c r="W3" s="6">
        <f>+V3-S3</f>
        <v>5106</v>
      </c>
      <c r="X3" s="5">
        <f>W3*50</f>
        <v>255300</v>
      </c>
      <c r="Y3" s="9">
        <v>246122</v>
      </c>
      <c r="Z3" s="6">
        <f>Y3-V3</f>
        <v>3051</v>
      </c>
      <c r="AA3" s="5">
        <f>Z3*50</f>
        <v>152550</v>
      </c>
      <c r="AB3" s="9">
        <v>247180</v>
      </c>
      <c r="AC3" s="6">
        <f>AB3-Y3</f>
        <v>1058</v>
      </c>
      <c r="AD3" s="5">
        <f>AC3*50</f>
        <v>52900</v>
      </c>
      <c r="AE3" s="9">
        <v>252638</v>
      </c>
      <c r="AF3" s="6">
        <f>+AE3-AB3</f>
        <v>5458</v>
      </c>
      <c r="AG3" s="5">
        <f>AF3*50</f>
        <v>272900</v>
      </c>
      <c r="AH3" s="9">
        <v>257405</v>
      </c>
      <c r="AI3" s="6">
        <f>AH3-AE3</f>
        <v>4767</v>
      </c>
      <c r="AJ3" s="5">
        <f>AI3*50</f>
        <v>238350</v>
      </c>
      <c r="AK3" s="9"/>
      <c r="AL3" s="6">
        <f>+AK3-AH3</f>
        <v>-257405</v>
      </c>
      <c r="AM3" s="5">
        <f>AL3*50</f>
        <v>-12870250</v>
      </c>
    </row>
    <row r="4" spans="1:39" s="2" customFormat="1" ht="15" x14ac:dyDescent="0.25">
      <c r="A4" s="96" t="s">
        <v>30</v>
      </c>
      <c r="B4" s="96" t="s">
        <v>75</v>
      </c>
      <c r="C4" s="6">
        <v>124927</v>
      </c>
      <c r="D4" s="6">
        <v>128278</v>
      </c>
      <c r="E4" s="6">
        <f t="shared" ref="E4:E12" si="1">D4-C4</f>
        <v>3351</v>
      </c>
      <c r="F4" s="97">
        <f t="shared" ref="F4:F12" si="2">E4*50</f>
        <v>167550</v>
      </c>
      <c r="G4" s="6">
        <v>128278</v>
      </c>
      <c r="H4" s="6">
        <f t="shared" ref="H4:H12" si="3">D4-G4</f>
        <v>0</v>
      </c>
      <c r="I4" s="97">
        <f t="shared" ref="I4:I12" si="4">H4*50</f>
        <v>0</v>
      </c>
      <c r="J4" s="6">
        <v>130401</v>
      </c>
      <c r="K4" s="6">
        <f t="shared" ref="K4:K12" si="5">J4-G4</f>
        <v>2123</v>
      </c>
      <c r="L4" s="97">
        <f t="shared" ref="L4:L12" si="6">K4*50</f>
        <v>106150</v>
      </c>
      <c r="M4" s="3">
        <v>132954</v>
      </c>
      <c r="N4" s="3">
        <f t="shared" ref="N4:N12" si="7">M4-J4</f>
        <v>2553</v>
      </c>
      <c r="O4" s="5">
        <f t="shared" ref="O4:O13" si="8">N4*50</f>
        <v>127650</v>
      </c>
      <c r="P4" s="3">
        <v>134897</v>
      </c>
      <c r="Q4" s="3">
        <f t="shared" ref="Q4:Q13" si="9">P4-M4</f>
        <v>1943</v>
      </c>
      <c r="R4" s="5">
        <f t="shared" ref="R4:R13" si="10">Q4*50</f>
        <v>97150</v>
      </c>
      <c r="S4" s="3">
        <v>137516</v>
      </c>
      <c r="T4" s="3">
        <f t="shared" ref="T4:T12" si="11">+S4-P4</f>
        <v>2619</v>
      </c>
      <c r="U4" s="5">
        <f t="shared" ref="U4:U13" si="12">T4*50</f>
        <v>130950</v>
      </c>
      <c r="V4" s="6">
        <v>139218</v>
      </c>
      <c r="W4" s="6">
        <f t="shared" ref="W4:W12" si="13">+V4-S4</f>
        <v>1702</v>
      </c>
      <c r="X4" s="5">
        <f t="shared" ref="X4:X13" si="14">W4*50</f>
        <v>85100</v>
      </c>
      <c r="Y4" s="6">
        <v>141996</v>
      </c>
      <c r="Z4" s="6">
        <f>Y4-V4</f>
        <v>2778</v>
      </c>
      <c r="AA4" s="5">
        <f t="shared" ref="AA4:AA13" si="15">Z4*50</f>
        <v>138900</v>
      </c>
      <c r="AB4" s="6">
        <v>144195</v>
      </c>
      <c r="AC4" s="6">
        <f>AB4-Y4</f>
        <v>2199</v>
      </c>
      <c r="AD4" s="5">
        <f t="shared" ref="AD4:AD13" si="16">AC4*50</f>
        <v>109950</v>
      </c>
      <c r="AE4" s="6">
        <v>147338</v>
      </c>
      <c r="AF4" s="6">
        <f t="shared" ref="AF4:AF9" si="17">AE4-AB4</f>
        <v>3143</v>
      </c>
      <c r="AG4" s="5">
        <f t="shared" ref="AG4" si="18">AF4*50</f>
        <v>157150</v>
      </c>
      <c r="AH4" s="6">
        <v>148071</v>
      </c>
      <c r="AI4" s="6">
        <f>AH4-AE4</f>
        <v>733</v>
      </c>
      <c r="AJ4" s="5">
        <f t="shared" ref="AJ4:AJ13" si="19">AI4*50</f>
        <v>36650</v>
      </c>
      <c r="AK4" s="6"/>
      <c r="AL4" s="6">
        <f t="shared" ref="AL4:AL9" si="20">AK4-AH4</f>
        <v>-148071</v>
      </c>
      <c r="AM4" s="5">
        <f t="shared" ref="AM4:AM13" si="21">AL4*50</f>
        <v>-7403550</v>
      </c>
    </row>
    <row r="5" spans="1:39" s="2" customFormat="1" ht="15" x14ac:dyDescent="0.25">
      <c r="A5" s="96" t="s">
        <v>31</v>
      </c>
      <c r="B5" s="96" t="s">
        <v>76</v>
      </c>
      <c r="C5" s="6">
        <v>174065</v>
      </c>
      <c r="D5" s="6">
        <v>183369</v>
      </c>
      <c r="E5" s="6">
        <f t="shared" si="1"/>
        <v>9304</v>
      </c>
      <c r="F5" s="97">
        <f t="shared" si="2"/>
        <v>465200</v>
      </c>
      <c r="G5" s="6">
        <v>183369</v>
      </c>
      <c r="H5" s="6">
        <f t="shared" si="3"/>
        <v>0</v>
      </c>
      <c r="I5" s="97">
        <f t="shared" si="4"/>
        <v>0</v>
      </c>
      <c r="J5" s="6">
        <v>193149</v>
      </c>
      <c r="K5" s="6">
        <f t="shared" si="5"/>
        <v>9780</v>
      </c>
      <c r="L5" s="97">
        <f t="shared" si="6"/>
        <v>489000</v>
      </c>
      <c r="M5" s="3">
        <v>201641</v>
      </c>
      <c r="N5" s="3">
        <f t="shared" si="7"/>
        <v>8492</v>
      </c>
      <c r="O5" s="5">
        <f t="shared" si="8"/>
        <v>424600</v>
      </c>
      <c r="P5" s="3">
        <v>211577</v>
      </c>
      <c r="Q5" s="3">
        <f t="shared" si="9"/>
        <v>9936</v>
      </c>
      <c r="R5" s="5">
        <f t="shared" si="10"/>
        <v>496800</v>
      </c>
      <c r="S5" s="3">
        <v>220558</v>
      </c>
      <c r="T5" s="3">
        <f t="shared" si="11"/>
        <v>8981</v>
      </c>
      <c r="U5" s="5">
        <f t="shared" si="12"/>
        <v>449050</v>
      </c>
      <c r="V5" s="6">
        <v>227587</v>
      </c>
      <c r="W5" s="6">
        <f t="shared" si="13"/>
        <v>7029</v>
      </c>
      <c r="X5" s="5">
        <f t="shared" si="14"/>
        <v>351450</v>
      </c>
      <c r="Y5" s="6">
        <v>234196</v>
      </c>
      <c r="Z5" s="6">
        <f>Y5-V5</f>
        <v>6609</v>
      </c>
      <c r="AA5" s="5">
        <f t="shared" si="15"/>
        <v>330450</v>
      </c>
      <c r="AB5" s="6">
        <v>243129</v>
      </c>
      <c r="AC5" s="6">
        <f>AB5-Y5</f>
        <v>8933</v>
      </c>
      <c r="AD5" s="5">
        <f t="shared" si="16"/>
        <v>446650</v>
      </c>
      <c r="AE5" s="6">
        <v>255728</v>
      </c>
      <c r="AF5" s="6">
        <f t="shared" si="17"/>
        <v>12599</v>
      </c>
      <c r="AG5" s="5">
        <f t="shared" ref="AG5" si="22">AF5*50</f>
        <v>629950</v>
      </c>
      <c r="AH5" s="6">
        <v>258674</v>
      </c>
      <c r="AI5" s="6">
        <f>AH5-AE5</f>
        <v>2946</v>
      </c>
      <c r="AJ5" s="5">
        <f t="shared" si="19"/>
        <v>147300</v>
      </c>
      <c r="AK5" s="6"/>
      <c r="AL5" s="6">
        <f t="shared" si="20"/>
        <v>-258674</v>
      </c>
      <c r="AM5" s="5">
        <f t="shared" si="21"/>
        <v>-12933700</v>
      </c>
    </row>
    <row r="6" spans="1:39" s="2" customFormat="1" ht="15" x14ac:dyDescent="0.25">
      <c r="A6" s="96" t="s">
        <v>28</v>
      </c>
      <c r="B6" s="96" t="s">
        <v>77</v>
      </c>
      <c r="C6" s="6">
        <v>98785</v>
      </c>
      <c r="D6" s="6">
        <v>109302</v>
      </c>
      <c r="E6" s="6">
        <f t="shared" si="1"/>
        <v>10517</v>
      </c>
      <c r="F6" s="97">
        <f t="shared" si="2"/>
        <v>525850</v>
      </c>
      <c r="G6" s="6">
        <v>109302</v>
      </c>
      <c r="H6" s="6">
        <f t="shared" si="3"/>
        <v>0</v>
      </c>
      <c r="I6" s="97">
        <f t="shared" si="4"/>
        <v>0</v>
      </c>
      <c r="J6" s="6">
        <v>116834</v>
      </c>
      <c r="K6" s="6">
        <f t="shared" si="5"/>
        <v>7532</v>
      </c>
      <c r="L6" s="97">
        <f t="shared" si="6"/>
        <v>376600</v>
      </c>
      <c r="M6" s="3">
        <v>122982</v>
      </c>
      <c r="N6" s="3">
        <f t="shared" si="7"/>
        <v>6148</v>
      </c>
      <c r="O6" s="5">
        <f t="shared" si="8"/>
        <v>307400</v>
      </c>
      <c r="P6" s="3">
        <v>126787</v>
      </c>
      <c r="Q6" s="3">
        <f t="shared" si="9"/>
        <v>3805</v>
      </c>
      <c r="R6" s="5">
        <f t="shared" si="10"/>
        <v>190250</v>
      </c>
      <c r="S6" s="3">
        <v>131971</v>
      </c>
      <c r="T6" s="3">
        <f t="shared" si="11"/>
        <v>5184</v>
      </c>
      <c r="U6" s="5">
        <f t="shared" si="12"/>
        <v>259200</v>
      </c>
      <c r="V6" s="6">
        <v>138122</v>
      </c>
      <c r="W6" s="6">
        <f t="shared" si="13"/>
        <v>6151</v>
      </c>
      <c r="X6" s="5">
        <f t="shared" si="14"/>
        <v>307550</v>
      </c>
      <c r="Y6" s="6">
        <v>141341</v>
      </c>
      <c r="Z6" s="6">
        <f>Y6-V6</f>
        <v>3219</v>
      </c>
      <c r="AA6" s="5">
        <f t="shared" si="15"/>
        <v>160950</v>
      </c>
      <c r="AB6" s="6">
        <v>148719</v>
      </c>
      <c r="AC6" s="6">
        <f>AB6-Y6</f>
        <v>7378</v>
      </c>
      <c r="AD6" s="5">
        <f t="shared" si="16"/>
        <v>368900</v>
      </c>
      <c r="AE6" s="6">
        <v>158265</v>
      </c>
      <c r="AF6" s="6">
        <f t="shared" si="17"/>
        <v>9546</v>
      </c>
      <c r="AG6" s="5">
        <f t="shared" ref="AG6" si="23">AF6*50</f>
        <v>477300</v>
      </c>
      <c r="AH6" s="6">
        <v>159569</v>
      </c>
      <c r="AI6" s="6">
        <f>AH6-AE6</f>
        <v>1304</v>
      </c>
      <c r="AJ6" s="5">
        <f t="shared" si="19"/>
        <v>65200</v>
      </c>
      <c r="AK6" s="6"/>
      <c r="AL6" s="6">
        <f t="shared" si="20"/>
        <v>-159569</v>
      </c>
      <c r="AM6" s="5">
        <f t="shared" si="21"/>
        <v>-7978450</v>
      </c>
    </row>
    <row r="7" spans="1:39" s="113" customFormat="1" ht="15" x14ac:dyDescent="0.25">
      <c r="A7" s="109" t="s">
        <v>23</v>
      </c>
      <c r="B7" s="109" t="s">
        <v>78</v>
      </c>
      <c r="C7" s="110">
        <v>142857</v>
      </c>
      <c r="D7" s="110">
        <v>146175</v>
      </c>
      <c r="E7" s="110">
        <f t="shared" si="1"/>
        <v>3318</v>
      </c>
      <c r="F7" s="111">
        <f t="shared" si="2"/>
        <v>165900</v>
      </c>
      <c r="G7" s="110">
        <v>146175</v>
      </c>
      <c r="H7" s="110">
        <f t="shared" si="3"/>
        <v>0</v>
      </c>
      <c r="I7" s="111">
        <f t="shared" si="4"/>
        <v>0</v>
      </c>
      <c r="J7" s="110">
        <v>148535</v>
      </c>
      <c r="K7" s="110">
        <f t="shared" si="5"/>
        <v>2360</v>
      </c>
      <c r="L7" s="111">
        <f t="shared" si="6"/>
        <v>118000</v>
      </c>
      <c r="M7" s="110">
        <v>150294</v>
      </c>
      <c r="N7" s="110">
        <f t="shared" si="7"/>
        <v>1759</v>
      </c>
      <c r="O7" s="112">
        <f t="shared" si="8"/>
        <v>87950</v>
      </c>
      <c r="P7" s="110">
        <v>151248</v>
      </c>
      <c r="Q7" s="110">
        <f t="shared" si="9"/>
        <v>954</v>
      </c>
      <c r="R7" s="112">
        <f t="shared" si="10"/>
        <v>47700</v>
      </c>
      <c r="S7" s="110">
        <v>153852</v>
      </c>
      <c r="T7" s="110">
        <f t="shared" si="11"/>
        <v>2604</v>
      </c>
      <c r="U7" s="112">
        <f t="shared" si="12"/>
        <v>130200</v>
      </c>
      <c r="V7" s="110">
        <v>155504</v>
      </c>
      <c r="W7" s="110">
        <f t="shared" si="13"/>
        <v>1652</v>
      </c>
      <c r="X7" s="112">
        <f t="shared" si="14"/>
        <v>82600</v>
      </c>
      <c r="Y7" s="110">
        <v>157903</v>
      </c>
      <c r="Z7" s="110">
        <f t="shared" ref="Z7:Z13" si="24">Y7-V7</f>
        <v>2399</v>
      </c>
      <c r="AA7" s="112">
        <f t="shared" si="15"/>
        <v>119950</v>
      </c>
      <c r="AB7" s="110">
        <v>162803</v>
      </c>
      <c r="AC7" s="110">
        <f t="shared" ref="AC7:AC13" si="25">AB7-Y7</f>
        <v>4900</v>
      </c>
      <c r="AD7" s="112">
        <f t="shared" si="16"/>
        <v>245000</v>
      </c>
      <c r="AE7" s="110">
        <v>165692</v>
      </c>
      <c r="AF7" s="110">
        <f t="shared" si="17"/>
        <v>2889</v>
      </c>
      <c r="AG7" s="112">
        <f t="shared" ref="AG7" si="26">AF7*50</f>
        <v>144450</v>
      </c>
      <c r="AH7" s="110">
        <v>168584</v>
      </c>
      <c r="AI7" s="110">
        <f t="shared" ref="AI7" si="27">AH7-AE7</f>
        <v>2892</v>
      </c>
      <c r="AJ7" s="112">
        <f t="shared" si="19"/>
        <v>144600</v>
      </c>
      <c r="AK7" s="110"/>
      <c r="AL7" s="110">
        <f t="shared" si="20"/>
        <v>-168584</v>
      </c>
      <c r="AM7" s="112">
        <f t="shared" si="21"/>
        <v>-8429200</v>
      </c>
    </row>
    <row r="8" spans="1:39" s="113" customFormat="1" ht="15" x14ac:dyDescent="0.25">
      <c r="A8" s="109" t="s">
        <v>27</v>
      </c>
      <c r="B8" s="109"/>
      <c r="C8" s="110">
        <v>116347</v>
      </c>
      <c r="D8" s="110">
        <v>117490</v>
      </c>
      <c r="E8" s="110">
        <f t="shared" si="1"/>
        <v>1143</v>
      </c>
      <c r="F8" s="111">
        <f t="shared" si="2"/>
        <v>57150</v>
      </c>
      <c r="G8" s="110">
        <v>117490</v>
      </c>
      <c r="H8" s="110">
        <f t="shared" si="3"/>
        <v>0</v>
      </c>
      <c r="I8" s="111">
        <f t="shared" si="4"/>
        <v>0</v>
      </c>
      <c r="J8" s="110">
        <v>118608</v>
      </c>
      <c r="K8" s="110">
        <f t="shared" si="5"/>
        <v>1118</v>
      </c>
      <c r="L8" s="111">
        <f t="shared" si="6"/>
        <v>55900</v>
      </c>
      <c r="M8" s="110">
        <v>119671</v>
      </c>
      <c r="N8" s="110">
        <f t="shared" si="7"/>
        <v>1063</v>
      </c>
      <c r="O8" s="112">
        <f t="shared" si="8"/>
        <v>53150</v>
      </c>
      <c r="P8" s="110">
        <v>120862</v>
      </c>
      <c r="Q8" s="110">
        <f t="shared" si="9"/>
        <v>1191</v>
      </c>
      <c r="R8" s="112">
        <f t="shared" si="10"/>
        <v>59550</v>
      </c>
      <c r="S8" s="110">
        <v>122459</v>
      </c>
      <c r="T8" s="110">
        <f t="shared" si="11"/>
        <v>1597</v>
      </c>
      <c r="U8" s="112">
        <f t="shared" si="12"/>
        <v>79850</v>
      </c>
      <c r="V8" s="110">
        <v>123045</v>
      </c>
      <c r="W8" s="110">
        <f t="shared" si="13"/>
        <v>586</v>
      </c>
      <c r="X8" s="112">
        <f t="shared" si="14"/>
        <v>29300</v>
      </c>
      <c r="Y8" s="110">
        <v>124037</v>
      </c>
      <c r="Z8" s="110">
        <f>Y8-V8</f>
        <v>992</v>
      </c>
      <c r="AA8" s="112">
        <f t="shared" si="15"/>
        <v>49600</v>
      </c>
      <c r="AB8" s="110">
        <v>126203</v>
      </c>
      <c r="AC8" s="110">
        <f>AB8-Y8</f>
        <v>2166</v>
      </c>
      <c r="AD8" s="112">
        <f t="shared" si="16"/>
        <v>108300</v>
      </c>
      <c r="AE8" s="110">
        <v>127713</v>
      </c>
      <c r="AF8" s="110">
        <f t="shared" si="17"/>
        <v>1510</v>
      </c>
      <c r="AG8" s="112">
        <f t="shared" ref="AG8" si="28">AF8*50</f>
        <v>75500</v>
      </c>
      <c r="AH8" s="110">
        <v>129303</v>
      </c>
      <c r="AI8" s="110">
        <f>AH8-AE8</f>
        <v>1590</v>
      </c>
      <c r="AJ8" s="112">
        <f t="shared" si="19"/>
        <v>79500</v>
      </c>
      <c r="AK8" s="110"/>
      <c r="AL8" s="110">
        <f t="shared" si="20"/>
        <v>-129303</v>
      </c>
      <c r="AM8" s="112">
        <f t="shared" si="21"/>
        <v>-6465150</v>
      </c>
    </row>
    <row r="9" spans="1:39" s="113" customFormat="1" ht="25.5" x14ac:dyDescent="0.25">
      <c r="A9" s="114" t="s">
        <v>32</v>
      </c>
      <c r="B9" s="114" t="s">
        <v>79</v>
      </c>
      <c r="C9" s="110">
        <v>371404</v>
      </c>
      <c r="D9" s="110">
        <v>374296</v>
      </c>
      <c r="E9" s="110">
        <f t="shared" si="1"/>
        <v>2892</v>
      </c>
      <c r="F9" s="111">
        <f t="shared" si="2"/>
        <v>144600</v>
      </c>
      <c r="G9" s="110">
        <v>374296</v>
      </c>
      <c r="H9" s="110">
        <f t="shared" si="3"/>
        <v>0</v>
      </c>
      <c r="I9" s="111">
        <f t="shared" si="4"/>
        <v>0</v>
      </c>
      <c r="J9" s="110">
        <v>375590</v>
      </c>
      <c r="K9" s="110">
        <f t="shared" si="5"/>
        <v>1294</v>
      </c>
      <c r="L9" s="111">
        <f t="shared" si="6"/>
        <v>64700</v>
      </c>
      <c r="M9" s="110">
        <v>377264</v>
      </c>
      <c r="N9" s="110">
        <f t="shared" si="7"/>
        <v>1674</v>
      </c>
      <c r="O9" s="112">
        <f t="shared" si="8"/>
        <v>83700</v>
      </c>
      <c r="P9" s="110">
        <v>378944</v>
      </c>
      <c r="Q9" s="110">
        <f t="shared" si="9"/>
        <v>1680</v>
      </c>
      <c r="R9" s="112">
        <f t="shared" si="10"/>
        <v>84000</v>
      </c>
      <c r="S9" s="110">
        <v>380947</v>
      </c>
      <c r="T9" s="110">
        <f t="shared" si="11"/>
        <v>2003</v>
      </c>
      <c r="U9" s="112">
        <f t="shared" si="12"/>
        <v>100150</v>
      </c>
      <c r="V9" s="110">
        <v>382619</v>
      </c>
      <c r="W9" s="110">
        <f t="shared" si="13"/>
        <v>1672</v>
      </c>
      <c r="X9" s="112">
        <f t="shared" si="14"/>
        <v>83600</v>
      </c>
      <c r="Y9" s="110">
        <v>385120</v>
      </c>
      <c r="Z9" s="110">
        <f>Y9-V9</f>
        <v>2501</v>
      </c>
      <c r="AA9" s="112">
        <f t="shared" si="15"/>
        <v>125050</v>
      </c>
      <c r="AB9" s="110">
        <v>387887</v>
      </c>
      <c r="AC9" s="110">
        <f>AB9-Y9</f>
        <v>2767</v>
      </c>
      <c r="AD9" s="112">
        <f t="shared" si="16"/>
        <v>138350</v>
      </c>
      <c r="AE9" s="110">
        <v>390089</v>
      </c>
      <c r="AF9" s="110">
        <f t="shared" si="17"/>
        <v>2202</v>
      </c>
      <c r="AG9" s="112">
        <f t="shared" ref="AG9" si="29">AF9*50</f>
        <v>110100</v>
      </c>
      <c r="AH9" s="110">
        <v>391737</v>
      </c>
      <c r="AI9" s="110">
        <f>AH9-AE9</f>
        <v>1648</v>
      </c>
      <c r="AJ9" s="112">
        <f t="shared" si="19"/>
        <v>82400</v>
      </c>
      <c r="AK9" s="110"/>
      <c r="AL9" s="110">
        <f t="shared" si="20"/>
        <v>-391737</v>
      </c>
      <c r="AM9" s="112">
        <f t="shared" si="21"/>
        <v>-19586850</v>
      </c>
    </row>
    <row r="10" spans="1:39" s="2" customFormat="1" ht="25.5" x14ac:dyDescent="0.25">
      <c r="A10" s="98" t="s">
        <v>26</v>
      </c>
      <c r="B10" s="98" t="s">
        <v>80</v>
      </c>
      <c r="C10" s="6">
        <v>100006</v>
      </c>
      <c r="D10" s="6">
        <v>105598</v>
      </c>
      <c r="E10" s="6">
        <f t="shared" si="1"/>
        <v>5592</v>
      </c>
      <c r="F10" s="97">
        <f t="shared" si="2"/>
        <v>279600</v>
      </c>
      <c r="G10" s="6">
        <v>105598</v>
      </c>
      <c r="H10" s="6">
        <f t="shared" si="3"/>
        <v>0</v>
      </c>
      <c r="I10" s="97">
        <f t="shared" si="4"/>
        <v>0</v>
      </c>
      <c r="J10" s="6">
        <v>109076</v>
      </c>
      <c r="K10" s="6">
        <f t="shared" si="5"/>
        <v>3478</v>
      </c>
      <c r="L10" s="97">
        <f t="shared" si="6"/>
        <v>173900</v>
      </c>
      <c r="M10" s="3">
        <v>112133</v>
      </c>
      <c r="N10" s="3">
        <f t="shared" si="7"/>
        <v>3057</v>
      </c>
      <c r="O10" s="5">
        <f t="shared" si="8"/>
        <v>152850</v>
      </c>
      <c r="P10" s="3">
        <v>115247</v>
      </c>
      <c r="Q10" s="3">
        <f t="shared" si="9"/>
        <v>3114</v>
      </c>
      <c r="R10" s="5">
        <f t="shared" si="10"/>
        <v>155700</v>
      </c>
      <c r="S10" s="3">
        <v>118712</v>
      </c>
      <c r="T10" s="3">
        <f t="shared" si="11"/>
        <v>3465</v>
      </c>
      <c r="U10" s="5">
        <f t="shared" si="12"/>
        <v>173250</v>
      </c>
      <c r="V10" s="6">
        <v>120813</v>
      </c>
      <c r="W10" s="6">
        <f t="shared" si="13"/>
        <v>2101</v>
      </c>
      <c r="X10" s="5">
        <f t="shared" si="14"/>
        <v>105050</v>
      </c>
      <c r="Y10" s="6">
        <v>124678</v>
      </c>
      <c r="Z10" s="6">
        <f>Y10-V10</f>
        <v>3865</v>
      </c>
      <c r="AA10" s="5">
        <f t="shared" si="15"/>
        <v>193250</v>
      </c>
      <c r="AB10" s="6">
        <v>129074</v>
      </c>
      <c r="AC10" s="6">
        <f>AB10-Y10</f>
        <v>4396</v>
      </c>
      <c r="AD10" s="5">
        <f t="shared" si="16"/>
        <v>219800</v>
      </c>
      <c r="AE10" s="6">
        <v>131857</v>
      </c>
      <c r="AF10" s="6">
        <f>+AE10-AB10</f>
        <v>2783</v>
      </c>
      <c r="AG10" s="5">
        <f t="shared" ref="AG10" si="30">AF10*50</f>
        <v>139150</v>
      </c>
      <c r="AH10" s="6">
        <v>136278</v>
      </c>
      <c r="AI10" s="6">
        <f>AH10-AE10</f>
        <v>4421</v>
      </c>
      <c r="AJ10" s="5">
        <f t="shared" si="19"/>
        <v>221050</v>
      </c>
      <c r="AK10" s="6"/>
      <c r="AL10" s="6">
        <f>+AK10-AH10</f>
        <v>-136278</v>
      </c>
      <c r="AM10" s="5">
        <f t="shared" si="21"/>
        <v>-6813900</v>
      </c>
    </row>
    <row r="11" spans="1:39" s="113" customFormat="1" ht="15" x14ac:dyDescent="0.25">
      <c r="A11" s="115" t="s">
        <v>29</v>
      </c>
      <c r="B11" s="115" t="s">
        <v>81</v>
      </c>
      <c r="C11" s="116">
        <v>146541</v>
      </c>
      <c r="D11" s="110">
        <v>148156</v>
      </c>
      <c r="E11" s="110">
        <f t="shared" si="1"/>
        <v>1615</v>
      </c>
      <c r="F11" s="111">
        <f t="shared" si="2"/>
        <v>80750</v>
      </c>
      <c r="G11" s="110">
        <v>148156</v>
      </c>
      <c r="H11" s="110">
        <f t="shared" si="3"/>
        <v>0</v>
      </c>
      <c r="I11" s="111">
        <f t="shared" si="4"/>
        <v>0</v>
      </c>
      <c r="J11" s="110">
        <v>149791</v>
      </c>
      <c r="K11" s="110">
        <f t="shared" si="5"/>
        <v>1635</v>
      </c>
      <c r="L11" s="111">
        <f t="shared" si="6"/>
        <v>81750</v>
      </c>
      <c r="M11" s="116">
        <v>151876</v>
      </c>
      <c r="N11" s="110">
        <f t="shared" si="7"/>
        <v>2085</v>
      </c>
      <c r="O11" s="112">
        <f t="shared" si="8"/>
        <v>104250</v>
      </c>
      <c r="P11" s="116">
        <v>153386</v>
      </c>
      <c r="Q11" s="110">
        <f t="shared" si="9"/>
        <v>1510</v>
      </c>
      <c r="R11" s="112">
        <f t="shared" si="10"/>
        <v>75500</v>
      </c>
      <c r="S11" s="110">
        <v>156253</v>
      </c>
      <c r="T11" s="110">
        <f t="shared" si="11"/>
        <v>2867</v>
      </c>
      <c r="U11" s="112">
        <f t="shared" si="12"/>
        <v>143350</v>
      </c>
      <c r="V11" s="110">
        <v>159447</v>
      </c>
      <c r="W11" s="110">
        <f t="shared" si="13"/>
        <v>3194</v>
      </c>
      <c r="X11" s="112">
        <f t="shared" si="14"/>
        <v>159700</v>
      </c>
      <c r="Y11" s="110">
        <v>162370</v>
      </c>
      <c r="Z11" s="110">
        <f>Y11-V11</f>
        <v>2923</v>
      </c>
      <c r="AA11" s="112">
        <f t="shared" si="15"/>
        <v>146150</v>
      </c>
      <c r="AB11" s="110">
        <v>165218</v>
      </c>
      <c r="AC11" s="110">
        <f>AB11-Y11</f>
        <v>2848</v>
      </c>
      <c r="AD11" s="112">
        <f t="shared" si="16"/>
        <v>142400</v>
      </c>
      <c r="AE11" s="110">
        <v>169926</v>
      </c>
      <c r="AF11" s="110">
        <f>+AE11-AB11</f>
        <v>4708</v>
      </c>
      <c r="AG11" s="112">
        <f t="shared" ref="AG11" si="31">AF11*50</f>
        <v>235400</v>
      </c>
      <c r="AH11" s="110">
        <v>174943</v>
      </c>
      <c r="AI11" s="110">
        <f>AH11-AE11</f>
        <v>5017</v>
      </c>
      <c r="AJ11" s="112">
        <f t="shared" si="19"/>
        <v>250850</v>
      </c>
      <c r="AK11" s="110"/>
      <c r="AL11" s="110">
        <f>+AK11</f>
        <v>0</v>
      </c>
      <c r="AM11" s="112">
        <f t="shared" si="21"/>
        <v>0</v>
      </c>
    </row>
    <row r="12" spans="1:39" s="113" customFormat="1" ht="15" x14ac:dyDescent="0.25">
      <c r="A12" s="109" t="s">
        <v>53</v>
      </c>
      <c r="B12" s="109" t="s">
        <v>82</v>
      </c>
      <c r="C12" s="110">
        <v>118302</v>
      </c>
      <c r="D12" s="110">
        <v>120616</v>
      </c>
      <c r="E12" s="110">
        <f t="shared" si="1"/>
        <v>2314</v>
      </c>
      <c r="F12" s="111">
        <f t="shared" si="2"/>
        <v>115700</v>
      </c>
      <c r="G12" s="110">
        <v>120616</v>
      </c>
      <c r="H12" s="110">
        <f t="shared" si="3"/>
        <v>0</v>
      </c>
      <c r="I12" s="111">
        <f t="shared" si="4"/>
        <v>0</v>
      </c>
      <c r="J12" s="110">
        <v>124393</v>
      </c>
      <c r="K12" s="110">
        <f t="shared" si="5"/>
        <v>3777</v>
      </c>
      <c r="L12" s="111">
        <f t="shared" si="6"/>
        <v>188850</v>
      </c>
      <c r="M12" s="110">
        <v>126012</v>
      </c>
      <c r="N12" s="110">
        <f t="shared" si="7"/>
        <v>1619</v>
      </c>
      <c r="O12" s="112">
        <f t="shared" si="8"/>
        <v>80950</v>
      </c>
      <c r="P12" s="110">
        <v>128273</v>
      </c>
      <c r="Q12" s="110">
        <f t="shared" si="9"/>
        <v>2261</v>
      </c>
      <c r="R12" s="112">
        <f t="shared" si="10"/>
        <v>113050</v>
      </c>
      <c r="S12" s="110">
        <v>131491</v>
      </c>
      <c r="T12" s="110">
        <f t="shared" si="11"/>
        <v>3218</v>
      </c>
      <c r="U12" s="112">
        <f t="shared" si="12"/>
        <v>160900</v>
      </c>
      <c r="V12" s="110">
        <v>133342</v>
      </c>
      <c r="W12" s="110">
        <f t="shared" si="13"/>
        <v>1851</v>
      </c>
      <c r="X12" s="112">
        <f t="shared" si="14"/>
        <v>92550</v>
      </c>
      <c r="Y12" s="110">
        <v>135858</v>
      </c>
      <c r="Z12" s="110">
        <f>Y12-V12</f>
        <v>2516</v>
      </c>
      <c r="AA12" s="112">
        <f t="shared" si="15"/>
        <v>125800</v>
      </c>
      <c r="AB12" s="110">
        <v>137833</v>
      </c>
      <c r="AC12" s="110">
        <f>AB12-Y12</f>
        <v>1975</v>
      </c>
      <c r="AD12" s="112">
        <f t="shared" si="16"/>
        <v>98750</v>
      </c>
      <c r="AE12" s="110">
        <v>139081</v>
      </c>
      <c r="AF12" s="110">
        <f>AE12-AB12</f>
        <v>1248</v>
      </c>
      <c r="AG12" s="112">
        <f t="shared" ref="AG12" si="32">AF12*50</f>
        <v>62400</v>
      </c>
      <c r="AH12" s="110">
        <v>142463</v>
      </c>
      <c r="AI12" s="110">
        <f>AH12-AE12</f>
        <v>3382</v>
      </c>
      <c r="AJ12" s="112">
        <f t="shared" si="19"/>
        <v>169100</v>
      </c>
      <c r="AK12" s="110"/>
      <c r="AL12" s="110">
        <f>AK12-AH12</f>
        <v>-142463</v>
      </c>
      <c r="AM12" s="112">
        <f t="shared" si="21"/>
        <v>-7123150</v>
      </c>
    </row>
    <row r="13" spans="1:39" s="113" customFormat="1" ht="15" x14ac:dyDescent="0.25">
      <c r="A13" s="114" t="s">
        <v>24</v>
      </c>
      <c r="B13" s="114" t="s">
        <v>83</v>
      </c>
      <c r="C13" s="110">
        <v>52135</v>
      </c>
      <c r="D13" s="110">
        <v>56532</v>
      </c>
      <c r="E13" s="110">
        <f t="shared" ref="E13" si="33">D13-C13</f>
        <v>4397</v>
      </c>
      <c r="F13" s="111">
        <f t="shared" ref="F13" si="34">E13*50</f>
        <v>219850</v>
      </c>
      <c r="G13" s="110">
        <v>56532</v>
      </c>
      <c r="H13" s="110">
        <f t="shared" ref="H13" si="35">D13-G13</f>
        <v>0</v>
      </c>
      <c r="I13" s="111">
        <f t="shared" ref="I13" si="36">H13*50</f>
        <v>0</v>
      </c>
      <c r="J13" s="110">
        <v>58958</v>
      </c>
      <c r="K13" s="110">
        <f t="shared" ref="K13" si="37">J13-G13</f>
        <v>2426</v>
      </c>
      <c r="L13" s="111">
        <f t="shared" ref="L13" si="38">K13*50</f>
        <v>121300</v>
      </c>
      <c r="M13" s="110">
        <v>61132</v>
      </c>
      <c r="N13" s="110">
        <f t="shared" ref="N13" si="39">M13-J13</f>
        <v>2174</v>
      </c>
      <c r="O13" s="112">
        <f t="shared" si="8"/>
        <v>108700</v>
      </c>
      <c r="P13" s="110">
        <v>62358</v>
      </c>
      <c r="Q13" s="110">
        <f t="shared" si="9"/>
        <v>1226</v>
      </c>
      <c r="R13" s="112">
        <f t="shared" si="10"/>
        <v>61300</v>
      </c>
      <c r="S13" s="110">
        <v>65003</v>
      </c>
      <c r="T13" s="110">
        <f t="shared" ref="T13" si="40">+S13-P13</f>
        <v>2645</v>
      </c>
      <c r="U13" s="112">
        <f t="shared" si="12"/>
        <v>132250</v>
      </c>
      <c r="V13" s="110">
        <v>66582</v>
      </c>
      <c r="W13" s="110">
        <f t="shared" ref="W13" si="41">+V13-S13</f>
        <v>1579</v>
      </c>
      <c r="X13" s="112">
        <f t="shared" si="14"/>
        <v>78950</v>
      </c>
      <c r="Y13" s="110">
        <v>68680</v>
      </c>
      <c r="Z13" s="110">
        <f t="shared" si="24"/>
        <v>2098</v>
      </c>
      <c r="AA13" s="112">
        <f t="shared" si="15"/>
        <v>104900</v>
      </c>
      <c r="AB13" s="110">
        <v>70560</v>
      </c>
      <c r="AC13" s="110">
        <f t="shared" si="25"/>
        <v>1880</v>
      </c>
      <c r="AD13" s="112">
        <f t="shared" si="16"/>
        <v>94000</v>
      </c>
      <c r="AE13" s="110">
        <v>72499</v>
      </c>
      <c r="AF13" s="110">
        <f t="shared" ref="AF13" si="42">AE13-AB13</f>
        <v>1939</v>
      </c>
      <c r="AG13" s="112">
        <f t="shared" ref="AG13" si="43">AF13*50</f>
        <v>96950</v>
      </c>
      <c r="AH13" s="110">
        <v>74221</v>
      </c>
      <c r="AI13" s="110">
        <f t="shared" ref="AI13" si="44">AH13-AE13</f>
        <v>1722</v>
      </c>
      <c r="AJ13" s="112">
        <f t="shared" si="19"/>
        <v>86100</v>
      </c>
      <c r="AK13" s="110"/>
      <c r="AL13" s="110">
        <f t="shared" ref="AL13" si="45">AK13-AH13</f>
        <v>-74221</v>
      </c>
      <c r="AM13" s="112">
        <f t="shared" si="21"/>
        <v>-3711050</v>
      </c>
    </row>
    <row r="14" spans="1:39" ht="15" x14ac:dyDescent="0.25">
      <c r="A14" s="17" t="s">
        <v>33</v>
      </c>
      <c r="B14" s="17"/>
      <c r="C14" s="17"/>
      <c r="D14" s="17"/>
      <c r="E14" s="19">
        <f>SUM(E3:E13)</f>
        <v>50390</v>
      </c>
      <c r="F14" s="18">
        <f>SUM(F4:F13)</f>
        <v>2222150</v>
      </c>
      <c r="G14" s="17"/>
      <c r="H14" s="17"/>
      <c r="I14" s="18">
        <f>SUM(I7:I13)</f>
        <v>0</v>
      </c>
      <c r="J14" s="17"/>
      <c r="K14" s="19">
        <f>SUM(K3:K13)</f>
        <v>35523</v>
      </c>
      <c r="L14" s="20">
        <f>SUM(L4:L13)</f>
        <v>1776150</v>
      </c>
      <c r="M14" s="19"/>
      <c r="N14" s="19">
        <f>SUM(N3:N13)</f>
        <v>42657</v>
      </c>
      <c r="O14" s="20">
        <f>SUM(O3:O13)</f>
        <v>2132850</v>
      </c>
      <c r="P14" s="19"/>
      <c r="Q14" s="19">
        <f>SUM(Q3:Q13)</f>
        <v>30582</v>
      </c>
      <c r="R14" s="20">
        <f>SUM(R3:R13)</f>
        <v>1529100</v>
      </c>
      <c r="S14" s="21"/>
      <c r="T14" s="19">
        <f>SUM(T3:T13)</f>
        <v>39230</v>
      </c>
      <c r="U14" s="20">
        <f>SUM(U3:U13)</f>
        <v>1961500</v>
      </c>
      <c r="V14" s="21"/>
      <c r="W14" s="19">
        <f>SUM(W3:W13)</f>
        <v>32623</v>
      </c>
      <c r="X14" s="20">
        <f>SUM(X3:X13)</f>
        <v>1631150</v>
      </c>
      <c r="Y14" s="21"/>
      <c r="Z14" s="19">
        <f>SUM(Z3:Z13)</f>
        <v>32951</v>
      </c>
      <c r="AA14" s="20">
        <f>SUM(AA3:AA13)</f>
        <v>1647550</v>
      </c>
      <c r="AB14" s="21"/>
      <c r="AC14" s="19">
        <f>SUM(AC3:AC13)</f>
        <v>40500</v>
      </c>
      <c r="AD14" s="20">
        <f>SUM(AD3:AD13)</f>
        <v>2025000</v>
      </c>
      <c r="AE14" s="22"/>
      <c r="AF14" s="19">
        <f>SUM(AF3:AF13)</f>
        <v>48025</v>
      </c>
      <c r="AG14" s="20">
        <f>SUM(AG3:AG13)</f>
        <v>2401250</v>
      </c>
      <c r="AH14" s="21"/>
      <c r="AI14" s="19">
        <f>SUM(AI3:AI13)</f>
        <v>30422</v>
      </c>
      <c r="AJ14" s="20">
        <f>SUM(AJ3:AJ13)</f>
        <v>1521100</v>
      </c>
      <c r="AK14" s="22"/>
      <c r="AL14" s="19">
        <f>SUM(AL3:AL13)</f>
        <v>-1866305</v>
      </c>
      <c r="AM14" s="20">
        <f>SUM(AM3:AM13)</f>
        <v>-93315250</v>
      </c>
    </row>
    <row r="15" spans="1:39" ht="15" x14ac:dyDescent="0.25">
      <c r="B15" s="11"/>
      <c r="C15" s="11"/>
      <c r="D15" s="10"/>
      <c r="E15" s="10">
        <f>+E7+E8+E9+E11+E12+E13</f>
        <v>15679</v>
      </c>
      <c r="F15" s="10">
        <f t="shared" ref="F15:AJ15" si="46">+F7+F8+F9+F11+F12+F13</f>
        <v>783950</v>
      </c>
      <c r="G15" s="10">
        <f t="shared" si="46"/>
        <v>963265</v>
      </c>
      <c r="H15" s="10">
        <f t="shared" si="46"/>
        <v>0</v>
      </c>
      <c r="I15" s="10">
        <f t="shared" si="46"/>
        <v>0</v>
      </c>
      <c r="J15" s="10">
        <f t="shared" si="46"/>
        <v>975875</v>
      </c>
      <c r="K15" s="10">
        <f t="shared" si="46"/>
        <v>12610</v>
      </c>
      <c r="L15" s="10">
        <f t="shared" si="46"/>
        <v>630500</v>
      </c>
      <c r="M15" s="10">
        <f t="shared" si="46"/>
        <v>986249</v>
      </c>
      <c r="N15" s="10">
        <f t="shared" si="46"/>
        <v>10374</v>
      </c>
      <c r="O15" s="10">
        <f t="shared" si="46"/>
        <v>518700</v>
      </c>
      <c r="P15" s="10">
        <f t="shared" si="46"/>
        <v>995071</v>
      </c>
      <c r="Q15" s="10">
        <f t="shared" si="46"/>
        <v>8822</v>
      </c>
      <c r="R15" s="10">
        <f t="shared" si="46"/>
        <v>441100</v>
      </c>
      <c r="S15" s="10">
        <f t="shared" si="46"/>
        <v>1010005</v>
      </c>
      <c r="T15" s="10">
        <f t="shared" si="46"/>
        <v>14934</v>
      </c>
      <c r="U15" s="10">
        <f t="shared" si="46"/>
        <v>746700</v>
      </c>
      <c r="V15" s="10">
        <f t="shared" si="46"/>
        <v>1020539</v>
      </c>
      <c r="W15" s="10">
        <f t="shared" si="46"/>
        <v>10534</v>
      </c>
      <c r="X15" s="10">
        <f t="shared" si="46"/>
        <v>526700</v>
      </c>
      <c r="Y15" s="10">
        <f t="shared" si="46"/>
        <v>1033968</v>
      </c>
      <c r="Z15" s="10">
        <f t="shared" si="46"/>
        <v>13429</v>
      </c>
      <c r="AA15" s="10">
        <f t="shared" si="46"/>
        <v>671450</v>
      </c>
      <c r="AB15" s="10">
        <f t="shared" si="46"/>
        <v>1050504</v>
      </c>
      <c r="AC15" s="10">
        <f t="shared" si="46"/>
        <v>16536</v>
      </c>
      <c r="AD15" s="10">
        <f t="shared" si="46"/>
        <v>826800</v>
      </c>
      <c r="AE15" s="10">
        <f t="shared" si="46"/>
        <v>1065000</v>
      </c>
      <c r="AF15" s="10">
        <f t="shared" si="46"/>
        <v>14496</v>
      </c>
      <c r="AG15" s="10">
        <f t="shared" si="46"/>
        <v>724800</v>
      </c>
      <c r="AH15" s="10">
        <f t="shared" si="46"/>
        <v>1081251</v>
      </c>
      <c r="AI15" s="10">
        <f t="shared" si="46"/>
        <v>16251</v>
      </c>
      <c r="AJ15" s="10">
        <f t="shared" si="46"/>
        <v>812550</v>
      </c>
      <c r="AM15" s="10"/>
    </row>
    <row r="16" spans="1:39" ht="15" x14ac:dyDescent="0.25">
      <c r="E16" s="10">
        <f>+E15+K15+N15+Q15+T15+W15+Z15+AC15+AF15+AI15</f>
        <v>133665</v>
      </c>
      <c r="AG16" s="10"/>
      <c r="AM16" s="10"/>
    </row>
    <row r="17" spans="4:39" ht="15" x14ac:dyDescent="0.25">
      <c r="D17" s="1" t="s">
        <v>117</v>
      </c>
      <c r="E17" s="1">
        <f>+E16/10</f>
        <v>13366.5</v>
      </c>
      <c r="F17" s="1">
        <f>+(E17*10%)+E17</f>
        <v>14703.15</v>
      </c>
      <c r="G17" s="113">
        <f>+F17*10</f>
        <v>147031.5</v>
      </c>
      <c r="AG17" s="10"/>
      <c r="AM17" s="10"/>
    </row>
    <row r="18" spans="4:39" ht="15" x14ac:dyDescent="0.25">
      <c r="D18" s="1" t="s">
        <v>118</v>
      </c>
      <c r="E18" s="10">
        <f>+AF5</f>
        <v>12599</v>
      </c>
      <c r="F18" s="1">
        <f>+(E18*10%)+E18</f>
        <v>13858.9</v>
      </c>
      <c r="G18" s="113">
        <f t="shared" ref="G18:G22" si="47">+F18*10</f>
        <v>138589</v>
      </c>
    </row>
    <row r="19" spans="4:39" ht="15" x14ac:dyDescent="0.25">
      <c r="D19" s="1" t="s">
        <v>119</v>
      </c>
      <c r="E19" s="10">
        <f>+AF4</f>
        <v>3143</v>
      </c>
      <c r="F19" s="1">
        <f t="shared" ref="F19:F22" si="48">+(E19*10%)+E19</f>
        <v>3457.3</v>
      </c>
      <c r="G19" s="113">
        <f t="shared" si="47"/>
        <v>34573</v>
      </c>
    </row>
    <row r="20" spans="4:39" ht="23.25" customHeight="1" x14ac:dyDescent="0.25">
      <c r="D20" s="1" t="s">
        <v>120</v>
      </c>
      <c r="E20" s="10">
        <f>+E6</f>
        <v>10517</v>
      </c>
      <c r="F20" s="1">
        <f t="shared" si="48"/>
        <v>11568.7</v>
      </c>
      <c r="G20" s="113">
        <f t="shared" si="47"/>
        <v>115687</v>
      </c>
    </row>
    <row r="21" spans="4:39" ht="23.25" customHeight="1" x14ac:dyDescent="0.25">
      <c r="D21" s="1" t="s">
        <v>121</v>
      </c>
      <c r="E21" s="1">
        <v>5458</v>
      </c>
      <c r="F21" s="1">
        <f t="shared" si="48"/>
        <v>6003.8</v>
      </c>
      <c r="G21" s="113">
        <f t="shared" si="47"/>
        <v>60038</v>
      </c>
    </row>
    <row r="22" spans="4:39" ht="23.25" customHeight="1" x14ac:dyDescent="0.25">
      <c r="D22" s="1" t="s">
        <v>122</v>
      </c>
      <c r="F22" s="1">
        <f t="shared" si="48"/>
        <v>0</v>
      </c>
      <c r="G22" s="1">
        <f t="shared" si="47"/>
        <v>0</v>
      </c>
    </row>
  </sheetData>
  <mergeCells count="14">
    <mergeCell ref="J2:L2"/>
    <mergeCell ref="C1:C2"/>
    <mergeCell ref="D2:F2"/>
    <mergeCell ref="G2:I2"/>
    <mergeCell ref="A1:B2"/>
    <mergeCell ref="AH2:AJ2"/>
    <mergeCell ref="AK2:AM2"/>
    <mergeCell ref="AE2:AG2"/>
    <mergeCell ref="M2:O2"/>
    <mergeCell ref="P2:R2"/>
    <mergeCell ref="S2:U2"/>
    <mergeCell ref="V2:X2"/>
    <mergeCell ref="Y2:AA2"/>
    <mergeCell ref="AB2:A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3"/>
  <sheetViews>
    <sheetView zoomScaleNormal="100" workbookViewId="0">
      <pane xSplit="8" ySplit="9" topLeftCell="I18" activePane="bottomRight" state="frozen"/>
      <selection activeCell="H27" sqref="H27"/>
      <selection pane="topRight" activeCell="H27" sqref="H27"/>
      <selection pane="bottomLeft" activeCell="H27" sqref="H27"/>
      <selection pane="bottomRight" activeCell="H27" sqref="H27"/>
    </sheetView>
  </sheetViews>
  <sheetFormatPr baseColWidth="10" defaultRowHeight="12.75" x14ac:dyDescent="0.2"/>
  <cols>
    <col min="1" max="1" width="14.28515625" style="27" bestFit="1" customWidth="1"/>
    <col min="2" max="2" width="27.5703125" style="27" customWidth="1"/>
    <col min="3" max="3" width="14.28515625" style="27" customWidth="1"/>
    <col min="4" max="4" width="14.28515625" style="29" customWidth="1"/>
    <col min="5" max="5" width="14.28515625" style="30" customWidth="1"/>
    <col min="6" max="6" width="14.28515625" style="27" customWidth="1"/>
    <col min="7" max="7" width="14.28515625" style="29" customWidth="1"/>
    <col min="8" max="8" width="14.28515625" style="30" customWidth="1"/>
    <col min="9" max="9" width="14.28515625" style="27" customWidth="1"/>
    <col min="10" max="10" width="14.28515625" style="29" customWidth="1"/>
    <col min="11" max="11" width="14.28515625" style="30" customWidth="1"/>
    <col min="12" max="12" width="14.28515625" style="27" customWidth="1"/>
    <col min="13" max="13" width="14.28515625" style="29" customWidth="1"/>
    <col min="14" max="14" width="14.28515625" style="30" customWidth="1"/>
    <col min="15" max="15" width="14.28515625" style="27" customWidth="1"/>
    <col min="16" max="16" width="14.28515625" style="29" customWidth="1"/>
    <col min="17" max="17" width="14.28515625" style="30" customWidth="1"/>
    <col min="18" max="18" width="14.28515625" style="27" customWidth="1"/>
    <col min="19" max="19" width="14.28515625" style="31" customWidth="1"/>
    <col min="20" max="20" width="14.28515625" style="30" customWidth="1"/>
    <col min="21" max="21" width="14.28515625" style="27" customWidth="1"/>
    <col min="22" max="22" width="14.28515625" style="31" customWidth="1"/>
    <col min="23" max="23" width="14.28515625" style="30" customWidth="1"/>
    <col min="24" max="24" width="14.28515625" style="27" customWidth="1"/>
    <col min="25" max="25" width="14.28515625" style="31" customWidth="1"/>
    <col min="26" max="26" width="14.28515625" style="30" customWidth="1"/>
    <col min="27" max="27" width="14.28515625" style="27" customWidth="1"/>
    <col min="28" max="28" width="14.28515625" style="31" customWidth="1"/>
    <col min="29" max="29" width="14.28515625" style="30" customWidth="1"/>
    <col min="30" max="30" width="14.28515625" style="27" customWidth="1"/>
    <col min="31" max="31" width="14.28515625" style="29" customWidth="1"/>
    <col min="32" max="32" width="14.28515625" style="30" customWidth="1"/>
    <col min="33" max="33" width="14.28515625" style="27" customWidth="1"/>
    <col min="34" max="34" width="14.28515625" style="29" customWidth="1"/>
    <col min="35" max="35" width="14.28515625" style="30" customWidth="1"/>
    <col min="36" max="36" width="14.28515625" style="27" customWidth="1"/>
    <col min="37" max="37" width="14.28515625" style="29" customWidth="1"/>
    <col min="38" max="38" width="14.28515625" style="30" customWidth="1"/>
    <col min="39" max="253" width="11.42578125" style="27"/>
    <col min="254" max="254" width="14.28515625" style="27" bestFit="1" customWidth="1"/>
    <col min="255" max="255" width="27.5703125" style="27" customWidth="1"/>
    <col min="256" max="279" width="0" style="27" hidden="1" customWidth="1"/>
    <col min="280" max="280" width="11.42578125" style="27" customWidth="1"/>
    <col min="281" max="281" width="11.42578125" style="27"/>
    <col min="282" max="283" width="11.42578125" style="27" customWidth="1"/>
    <col min="284" max="284" width="11.42578125" style="27"/>
    <col min="285" max="286" width="11.42578125" style="27" customWidth="1"/>
    <col min="287" max="287" width="11.42578125" style="27"/>
    <col min="288" max="289" width="11.42578125" style="27" customWidth="1"/>
    <col min="290" max="290" width="11.42578125" style="27"/>
    <col min="291" max="291" width="12.28515625" style="27" bestFit="1" customWidth="1"/>
    <col min="292" max="292" width="11.42578125" style="27" customWidth="1"/>
    <col min="293" max="509" width="11.42578125" style="27"/>
    <col min="510" max="510" width="14.28515625" style="27" bestFit="1" customWidth="1"/>
    <col min="511" max="511" width="27.5703125" style="27" customWidth="1"/>
    <col min="512" max="535" width="0" style="27" hidden="1" customWidth="1"/>
    <col min="536" max="536" width="11.42578125" style="27" customWidth="1"/>
    <col min="537" max="537" width="11.42578125" style="27"/>
    <col min="538" max="539" width="11.42578125" style="27" customWidth="1"/>
    <col min="540" max="540" width="11.42578125" style="27"/>
    <col min="541" max="542" width="11.42578125" style="27" customWidth="1"/>
    <col min="543" max="543" width="11.42578125" style="27"/>
    <col min="544" max="545" width="11.42578125" style="27" customWidth="1"/>
    <col min="546" max="546" width="11.42578125" style="27"/>
    <col min="547" max="547" width="12.28515625" style="27" bestFit="1" customWidth="1"/>
    <col min="548" max="548" width="11.42578125" style="27" customWidth="1"/>
    <col min="549" max="765" width="11.42578125" style="27"/>
    <col min="766" max="766" width="14.28515625" style="27" bestFit="1" customWidth="1"/>
    <col min="767" max="767" width="27.5703125" style="27" customWidth="1"/>
    <col min="768" max="791" width="0" style="27" hidden="1" customWidth="1"/>
    <col min="792" max="792" width="11.42578125" style="27" customWidth="1"/>
    <col min="793" max="793" width="11.42578125" style="27"/>
    <col min="794" max="795" width="11.42578125" style="27" customWidth="1"/>
    <col min="796" max="796" width="11.42578125" style="27"/>
    <col min="797" max="798" width="11.42578125" style="27" customWidth="1"/>
    <col min="799" max="799" width="11.42578125" style="27"/>
    <col min="800" max="801" width="11.42578125" style="27" customWidth="1"/>
    <col min="802" max="802" width="11.42578125" style="27"/>
    <col min="803" max="803" width="12.28515625" style="27" bestFit="1" customWidth="1"/>
    <col min="804" max="804" width="11.42578125" style="27" customWidth="1"/>
    <col min="805" max="1021" width="11.42578125" style="27"/>
    <col min="1022" max="1022" width="14.28515625" style="27" bestFit="1" customWidth="1"/>
    <col min="1023" max="1023" width="27.5703125" style="27" customWidth="1"/>
    <col min="1024" max="1047" width="0" style="27" hidden="1" customWidth="1"/>
    <col min="1048" max="1048" width="11.42578125" style="27" customWidth="1"/>
    <col min="1049" max="1049" width="11.42578125" style="27"/>
    <col min="1050" max="1051" width="11.42578125" style="27" customWidth="1"/>
    <col min="1052" max="1052" width="11.42578125" style="27"/>
    <col min="1053" max="1054" width="11.42578125" style="27" customWidth="1"/>
    <col min="1055" max="1055" width="11.42578125" style="27"/>
    <col min="1056" max="1057" width="11.42578125" style="27" customWidth="1"/>
    <col min="1058" max="1058" width="11.42578125" style="27"/>
    <col min="1059" max="1059" width="12.28515625" style="27" bestFit="1" customWidth="1"/>
    <col min="1060" max="1060" width="11.42578125" style="27" customWidth="1"/>
    <col min="1061" max="1277" width="11.42578125" style="27"/>
    <col min="1278" max="1278" width="14.28515625" style="27" bestFit="1" customWidth="1"/>
    <col min="1279" max="1279" width="27.5703125" style="27" customWidth="1"/>
    <col min="1280" max="1303" width="0" style="27" hidden="1" customWidth="1"/>
    <col min="1304" max="1304" width="11.42578125" style="27" customWidth="1"/>
    <col min="1305" max="1305" width="11.42578125" style="27"/>
    <col min="1306" max="1307" width="11.42578125" style="27" customWidth="1"/>
    <col min="1308" max="1308" width="11.42578125" style="27"/>
    <col min="1309" max="1310" width="11.42578125" style="27" customWidth="1"/>
    <col min="1311" max="1311" width="11.42578125" style="27"/>
    <col min="1312" max="1313" width="11.42578125" style="27" customWidth="1"/>
    <col min="1314" max="1314" width="11.42578125" style="27"/>
    <col min="1315" max="1315" width="12.28515625" style="27" bestFit="1" customWidth="1"/>
    <col min="1316" max="1316" width="11.42578125" style="27" customWidth="1"/>
    <col min="1317" max="1533" width="11.42578125" style="27"/>
    <col min="1534" max="1534" width="14.28515625" style="27" bestFit="1" customWidth="1"/>
    <col min="1535" max="1535" width="27.5703125" style="27" customWidth="1"/>
    <col min="1536" max="1559" width="0" style="27" hidden="1" customWidth="1"/>
    <col min="1560" max="1560" width="11.42578125" style="27" customWidth="1"/>
    <col min="1561" max="1561" width="11.42578125" style="27"/>
    <col min="1562" max="1563" width="11.42578125" style="27" customWidth="1"/>
    <col min="1564" max="1564" width="11.42578125" style="27"/>
    <col min="1565" max="1566" width="11.42578125" style="27" customWidth="1"/>
    <col min="1567" max="1567" width="11.42578125" style="27"/>
    <col min="1568" max="1569" width="11.42578125" style="27" customWidth="1"/>
    <col min="1570" max="1570" width="11.42578125" style="27"/>
    <col min="1571" max="1571" width="12.28515625" style="27" bestFit="1" customWidth="1"/>
    <col min="1572" max="1572" width="11.42578125" style="27" customWidth="1"/>
    <col min="1573" max="1789" width="11.42578125" style="27"/>
    <col min="1790" max="1790" width="14.28515625" style="27" bestFit="1" customWidth="1"/>
    <col min="1791" max="1791" width="27.5703125" style="27" customWidth="1"/>
    <col min="1792" max="1815" width="0" style="27" hidden="1" customWidth="1"/>
    <col min="1816" max="1816" width="11.42578125" style="27" customWidth="1"/>
    <col min="1817" max="1817" width="11.42578125" style="27"/>
    <col min="1818" max="1819" width="11.42578125" style="27" customWidth="1"/>
    <col min="1820" max="1820" width="11.42578125" style="27"/>
    <col min="1821" max="1822" width="11.42578125" style="27" customWidth="1"/>
    <col min="1823" max="1823" width="11.42578125" style="27"/>
    <col min="1824" max="1825" width="11.42578125" style="27" customWidth="1"/>
    <col min="1826" max="1826" width="11.42578125" style="27"/>
    <col min="1827" max="1827" width="12.28515625" style="27" bestFit="1" customWidth="1"/>
    <col min="1828" max="1828" width="11.42578125" style="27" customWidth="1"/>
    <col min="1829" max="2045" width="11.42578125" style="27"/>
    <col min="2046" max="2046" width="14.28515625" style="27" bestFit="1" customWidth="1"/>
    <col min="2047" max="2047" width="27.5703125" style="27" customWidth="1"/>
    <col min="2048" max="2071" width="0" style="27" hidden="1" customWidth="1"/>
    <col min="2072" max="2072" width="11.42578125" style="27" customWidth="1"/>
    <col min="2073" max="2073" width="11.42578125" style="27"/>
    <col min="2074" max="2075" width="11.42578125" style="27" customWidth="1"/>
    <col min="2076" max="2076" width="11.42578125" style="27"/>
    <col min="2077" max="2078" width="11.42578125" style="27" customWidth="1"/>
    <col min="2079" max="2079" width="11.42578125" style="27"/>
    <col min="2080" max="2081" width="11.42578125" style="27" customWidth="1"/>
    <col min="2082" max="2082" width="11.42578125" style="27"/>
    <col min="2083" max="2083" width="12.28515625" style="27" bestFit="1" customWidth="1"/>
    <col min="2084" max="2084" width="11.42578125" style="27" customWidth="1"/>
    <col min="2085" max="2301" width="11.42578125" style="27"/>
    <col min="2302" max="2302" width="14.28515625" style="27" bestFit="1" customWidth="1"/>
    <col min="2303" max="2303" width="27.5703125" style="27" customWidth="1"/>
    <col min="2304" max="2327" width="0" style="27" hidden="1" customWidth="1"/>
    <col min="2328" max="2328" width="11.42578125" style="27" customWidth="1"/>
    <col min="2329" max="2329" width="11.42578125" style="27"/>
    <col min="2330" max="2331" width="11.42578125" style="27" customWidth="1"/>
    <col min="2332" max="2332" width="11.42578125" style="27"/>
    <col min="2333" max="2334" width="11.42578125" style="27" customWidth="1"/>
    <col min="2335" max="2335" width="11.42578125" style="27"/>
    <col min="2336" max="2337" width="11.42578125" style="27" customWidth="1"/>
    <col min="2338" max="2338" width="11.42578125" style="27"/>
    <col min="2339" max="2339" width="12.28515625" style="27" bestFit="1" customWidth="1"/>
    <col min="2340" max="2340" width="11.42578125" style="27" customWidth="1"/>
    <col min="2341" max="2557" width="11.42578125" style="27"/>
    <col min="2558" max="2558" width="14.28515625" style="27" bestFit="1" customWidth="1"/>
    <col min="2559" max="2559" width="27.5703125" style="27" customWidth="1"/>
    <col min="2560" max="2583" width="0" style="27" hidden="1" customWidth="1"/>
    <col min="2584" max="2584" width="11.42578125" style="27" customWidth="1"/>
    <col min="2585" max="2585" width="11.42578125" style="27"/>
    <col min="2586" max="2587" width="11.42578125" style="27" customWidth="1"/>
    <col min="2588" max="2588" width="11.42578125" style="27"/>
    <col min="2589" max="2590" width="11.42578125" style="27" customWidth="1"/>
    <col min="2591" max="2591" width="11.42578125" style="27"/>
    <col min="2592" max="2593" width="11.42578125" style="27" customWidth="1"/>
    <col min="2594" max="2594" width="11.42578125" style="27"/>
    <col min="2595" max="2595" width="12.28515625" style="27" bestFit="1" customWidth="1"/>
    <col min="2596" max="2596" width="11.42578125" style="27" customWidth="1"/>
    <col min="2597" max="2813" width="11.42578125" style="27"/>
    <col min="2814" max="2814" width="14.28515625" style="27" bestFit="1" customWidth="1"/>
    <col min="2815" max="2815" width="27.5703125" style="27" customWidth="1"/>
    <col min="2816" max="2839" width="0" style="27" hidden="1" customWidth="1"/>
    <col min="2840" max="2840" width="11.42578125" style="27" customWidth="1"/>
    <col min="2841" max="2841" width="11.42578125" style="27"/>
    <col min="2842" max="2843" width="11.42578125" style="27" customWidth="1"/>
    <col min="2844" max="2844" width="11.42578125" style="27"/>
    <col min="2845" max="2846" width="11.42578125" style="27" customWidth="1"/>
    <col min="2847" max="2847" width="11.42578125" style="27"/>
    <col min="2848" max="2849" width="11.42578125" style="27" customWidth="1"/>
    <col min="2850" max="2850" width="11.42578125" style="27"/>
    <col min="2851" max="2851" width="12.28515625" style="27" bestFit="1" customWidth="1"/>
    <col min="2852" max="2852" width="11.42578125" style="27" customWidth="1"/>
    <col min="2853" max="3069" width="11.42578125" style="27"/>
    <col min="3070" max="3070" width="14.28515625" style="27" bestFit="1" customWidth="1"/>
    <col min="3071" max="3071" width="27.5703125" style="27" customWidth="1"/>
    <col min="3072" max="3095" width="0" style="27" hidden="1" customWidth="1"/>
    <col min="3096" max="3096" width="11.42578125" style="27" customWidth="1"/>
    <col min="3097" max="3097" width="11.42578125" style="27"/>
    <col min="3098" max="3099" width="11.42578125" style="27" customWidth="1"/>
    <col min="3100" max="3100" width="11.42578125" style="27"/>
    <col min="3101" max="3102" width="11.42578125" style="27" customWidth="1"/>
    <col min="3103" max="3103" width="11.42578125" style="27"/>
    <col min="3104" max="3105" width="11.42578125" style="27" customWidth="1"/>
    <col min="3106" max="3106" width="11.42578125" style="27"/>
    <col min="3107" max="3107" width="12.28515625" style="27" bestFit="1" customWidth="1"/>
    <col min="3108" max="3108" width="11.42578125" style="27" customWidth="1"/>
    <col min="3109" max="3325" width="11.42578125" style="27"/>
    <col min="3326" max="3326" width="14.28515625" style="27" bestFit="1" customWidth="1"/>
    <col min="3327" max="3327" width="27.5703125" style="27" customWidth="1"/>
    <col min="3328" max="3351" width="0" style="27" hidden="1" customWidth="1"/>
    <col min="3352" max="3352" width="11.42578125" style="27" customWidth="1"/>
    <col min="3353" max="3353" width="11.42578125" style="27"/>
    <col min="3354" max="3355" width="11.42578125" style="27" customWidth="1"/>
    <col min="3356" max="3356" width="11.42578125" style="27"/>
    <col min="3357" max="3358" width="11.42578125" style="27" customWidth="1"/>
    <col min="3359" max="3359" width="11.42578125" style="27"/>
    <col min="3360" max="3361" width="11.42578125" style="27" customWidth="1"/>
    <col min="3362" max="3362" width="11.42578125" style="27"/>
    <col min="3363" max="3363" width="12.28515625" style="27" bestFit="1" customWidth="1"/>
    <col min="3364" max="3364" width="11.42578125" style="27" customWidth="1"/>
    <col min="3365" max="3581" width="11.42578125" style="27"/>
    <col min="3582" max="3582" width="14.28515625" style="27" bestFit="1" customWidth="1"/>
    <col min="3583" max="3583" width="27.5703125" style="27" customWidth="1"/>
    <col min="3584" max="3607" width="0" style="27" hidden="1" customWidth="1"/>
    <col min="3608" max="3608" width="11.42578125" style="27" customWidth="1"/>
    <col min="3609" max="3609" width="11.42578125" style="27"/>
    <col min="3610" max="3611" width="11.42578125" style="27" customWidth="1"/>
    <col min="3612" max="3612" width="11.42578125" style="27"/>
    <col min="3613" max="3614" width="11.42578125" style="27" customWidth="1"/>
    <col min="3615" max="3615" width="11.42578125" style="27"/>
    <col min="3616" max="3617" width="11.42578125" style="27" customWidth="1"/>
    <col min="3618" max="3618" width="11.42578125" style="27"/>
    <col min="3619" max="3619" width="12.28515625" style="27" bestFit="1" customWidth="1"/>
    <col min="3620" max="3620" width="11.42578125" style="27" customWidth="1"/>
    <col min="3621" max="3837" width="11.42578125" style="27"/>
    <col min="3838" max="3838" width="14.28515625" style="27" bestFit="1" customWidth="1"/>
    <col min="3839" max="3839" width="27.5703125" style="27" customWidth="1"/>
    <col min="3840" max="3863" width="0" style="27" hidden="1" customWidth="1"/>
    <col min="3864" max="3864" width="11.42578125" style="27" customWidth="1"/>
    <col min="3865" max="3865" width="11.42578125" style="27"/>
    <col min="3866" max="3867" width="11.42578125" style="27" customWidth="1"/>
    <col min="3868" max="3868" width="11.42578125" style="27"/>
    <col min="3869" max="3870" width="11.42578125" style="27" customWidth="1"/>
    <col min="3871" max="3871" width="11.42578125" style="27"/>
    <col min="3872" max="3873" width="11.42578125" style="27" customWidth="1"/>
    <col min="3874" max="3874" width="11.42578125" style="27"/>
    <col min="3875" max="3875" width="12.28515625" style="27" bestFit="1" customWidth="1"/>
    <col min="3876" max="3876" width="11.42578125" style="27" customWidth="1"/>
    <col min="3877" max="4093" width="11.42578125" style="27"/>
    <col min="4094" max="4094" width="14.28515625" style="27" bestFit="1" customWidth="1"/>
    <col min="4095" max="4095" width="27.5703125" style="27" customWidth="1"/>
    <col min="4096" max="4119" width="0" style="27" hidden="1" customWidth="1"/>
    <col min="4120" max="4120" width="11.42578125" style="27" customWidth="1"/>
    <col min="4121" max="4121" width="11.42578125" style="27"/>
    <col min="4122" max="4123" width="11.42578125" style="27" customWidth="1"/>
    <col min="4124" max="4124" width="11.42578125" style="27"/>
    <col min="4125" max="4126" width="11.42578125" style="27" customWidth="1"/>
    <col min="4127" max="4127" width="11.42578125" style="27"/>
    <col min="4128" max="4129" width="11.42578125" style="27" customWidth="1"/>
    <col min="4130" max="4130" width="11.42578125" style="27"/>
    <col min="4131" max="4131" width="12.28515625" style="27" bestFit="1" customWidth="1"/>
    <col min="4132" max="4132" width="11.42578125" style="27" customWidth="1"/>
    <col min="4133" max="4349" width="11.42578125" style="27"/>
    <col min="4350" max="4350" width="14.28515625" style="27" bestFit="1" customWidth="1"/>
    <col min="4351" max="4351" width="27.5703125" style="27" customWidth="1"/>
    <col min="4352" max="4375" width="0" style="27" hidden="1" customWidth="1"/>
    <col min="4376" max="4376" width="11.42578125" style="27" customWidth="1"/>
    <col min="4377" max="4377" width="11.42578125" style="27"/>
    <col min="4378" max="4379" width="11.42578125" style="27" customWidth="1"/>
    <col min="4380" max="4380" width="11.42578125" style="27"/>
    <col min="4381" max="4382" width="11.42578125" style="27" customWidth="1"/>
    <col min="4383" max="4383" width="11.42578125" style="27"/>
    <col min="4384" max="4385" width="11.42578125" style="27" customWidth="1"/>
    <col min="4386" max="4386" width="11.42578125" style="27"/>
    <col min="4387" max="4387" width="12.28515625" style="27" bestFit="1" customWidth="1"/>
    <col min="4388" max="4388" width="11.42578125" style="27" customWidth="1"/>
    <col min="4389" max="4605" width="11.42578125" style="27"/>
    <col min="4606" max="4606" width="14.28515625" style="27" bestFit="1" customWidth="1"/>
    <col min="4607" max="4607" width="27.5703125" style="27" customWidth="1"/>
    <col min="4608" max="4631" width="0" style="27" hidden="1" customWidth="1"/>
    <col min="4632" max="4632" width="11.42578125" style="27" customWidth="1"/>
    <col min="4633" max="4633" width="11.42578125" style="27"/>
    <col min="4634" max="4635" width="11.42578125" style="27" customWidth="1"/>
    <col min="4636" max="4636" width="11.42578125" style="27"/>
    <col min="4637" max="4638" width="11.42578125" style="27" customWidth="1"/>
    <col min="4639" max="4639" width="11.42578125" style="27"/>
    <col min="4640" max="4641" width="11.42578125" style="27" customWidth="1"/>
    <col min="4642" max="4642" width="11.42578125" style="27"/>
    <col min="4643" max="4643" width="12.28515625" style="27" bestFit="1" customWidth="1"/>
    <col min="4644" max="4644" width="11.42578125" style="27" customWidth="1"/>
    <col min="4645" max="4861" width="11.42578125" style="27"/>
    <col min="4862" max="4862" width="14.28515625" style="27" bestFit="1" customWidth="1"/>
    <col min="4863" max="4863" width="27.5703125" style="27" customWidth="1"/>
    <col min="4864" max="4887" width="0" style="27" hidden="1" customWidth="1"/>
    <col min="4888" max="4888" width="11.42578125" style="27" customWidth="1"/>
    <col min="4889" max="4889" width="11.42578125" style="27"/>
    <col min="4890" max="4891" width="11.42578125" style="27" customWidth="1"/>
    <col min="4892" max="4892" width="11.42578125" style="27"/>
    <col min="4893" max="4894" width="11.42578125" style="27" customWidth="1"/>
    <col min="4895" max="4895" width="11.42578125" style="27"/>
    <col min="4896" max="4897" width="11.42578125" style="27" customWidth="1"/>
    <col min="4898" max="4898" width="11.42578125" style="27"/>
    <col min="4899" max="4899" width="12.28515625" style="27" bestFit="1" customWidth="1"/>
    <col min="4900" max="4900" width="11.42578125" style="27" customWidth="1"/>
    <col min="4901" max="5117" width="11.42578125" style="27"/>
    <col min="5118" max="5118" width="14.28515625" style="27" bestFit="1" customWidth="1"/>
    <col min="5119" max="5119" width="27.5703125" style="27" customWidth="1"/>
    <col min="5120" max="5143" width="0" style="27" hidden="1" customWidth="1"/>
    <col min="5144" max="5144" width="11.42578125" style="27" customWidth="1"/>
    <col min="5145" max="5145" width="11.42578125" style="27"/>
    <col min="5146" max="5147" width="11.42578125" style="27" customWidth="1"/>
    <col min="5148" max="5148" width="11.42578125" style="27"/>
    <col min="5149" max="5150" width="11.42578125" style="27" customWidth="1"/>
    <col min="5151" max="5151" width="11.42578125" style="27"/>
    <col min="5152" max="5153" width="11.42578125" style="27" customWidth="1"/>
    <col min="5154" max="5154" width="11.42578125" style="27"/>
    <col min="5155" max="5155" width="12.28515625" style="27" bestFit="1" customWidth="1"/>
    <col min="5156" max="5156" width="11.42578125" style="27" customWidth="1"/>
    <col min="5157" max="5373" width="11.42578125" style="27"/>
    <col min="5374" max="5374" width="14.28515625" style="27" bestFit="1" customWidth="1"/>
    <col min="5375" max="5375" width="27.5703125" style="27" customWidth="1"/>
    <col min="5376" max="5399" width="0" style="27" hidden="1" customWidth="1"/>
    <col min="5400" max="5400" width="11.42578125" style="27" customWidth="1"/>
    <col min="5401" max="5401" width="11.42578125" style="27"/>
    <col min="5402" max="5403" width="11.42578125" style="27" customWidth="1"/>
    <col min="5404" max="5404" width="11.42578125" style="27"/>
    <col min="5405" max="5406" width="11.42578125" style="27" customWidth="1"/>
    <col min="5407" max="5407" width="11.42578125" style="27"/>
    <col min="5408" max="5409" width="11.42578125" style="27" customWidth="1"/>
    <col min="5410" max="5410" width="11.42578125" style="27"/>
    <col min="5411" max="5411" width="12.28515625" style="27" bestFit="1" customWidth="1"/>
    <col min="5412" max="5412" width="11.42578125" style="27" customWidth="1"/>
    <col min="5413" max="5629" width="11.42578125" style="27"/>
    <col min="5630" max="5630" width="14.28515625" style="27" bestFit="1" customWidth="1"/>
    <col min="5631" max="5631" width="27.5703125" style="27" customWidth="1"/>
    <col min="5632" max="5655" width="0" style="27" hidden="1" customWidth="1"/>
    <col min="5656" max="5656" width="11.42578125" style="27" customWidth="1"/>
    <col min="5657" max="5657" width="11.42578125" style="27"/>
    <col min="5658" max="5659" width="11.42578125" style="27" customWidth="1"/>
    <col min="5660" max="5660" width="11.42578125" style="27"/>
    <col min="5661" max="5662" width="11.42578125" style="27" customWidth="1"/>
    <col min="5663" max="5663" width="11.42578125" style="27"/>
    <col min="5664" max="5665" width="11.42578125" style="27" customWidth="1"/>
    <col min="5666" max="5666" width="11.42578125" style="27"/>
    <col min="5667" max="5667" width="12.28515625" style="27" bestFit="1" customWidth="1"/>
    <col min="5668" max="5668" width="11.42578125" style="27" customWidth="1"/>
    <col min="5669" max="5885" width="11.42578125" style="27"/>
    <col min="5886" max="5886" width="14.28515625" style="27" bestFit="1" customWidth="1"/>
    <col min="5887" max="5887" width="27.5703125" style="27" customWidth="1"/>
    <col min="5888" max="5911" width="0" style="27" hidden="1" customWidth="1"/>
    <col min="5912" max="5912" width="11.42578125" style="27" customWidth="1"/>
    <col min="5913" max="5913" width="11.42578125" style="27"/>
    <col min="5914" max="5915" width="11.42578125" style="27" customWidth="1"/>
    <col min="5916" max="5916" width="11.42578125" style="27"/>
    <col min="5917" max="5918" width="11.42578125" style="27" customWidth="1"/>
    <col min="5919" max="5919" width="11.42578125" style="27"/>
    <col min="5920" max="5921" width="11.42578125" style="27" customWidth="1"/>
    <col min="5922" max="5922" width="11.42578125" style="27"/>
    <col min="5923" max="5923" width="12.28515625" style="27" bestFit="1" customWidth="1"/>
    <col min="5924" max="5924" width="11.42578125" style="27" customWidth="1"/>
    <col min="5925" max="6141" width="11.42578125" style="27"/>
    <col min="6142" max="6142" width="14.28515625" style="27" bestFit="1" customWidth="1"/>
    <col min="6143" max="6143" width="27.5703125" style="27" customWidth="1"/>
    <col min="6144" max="6167" width="0" style="27" hidden="1" customWidth="1"/>
    <col min="6168" max="6168" width="11.42578125" style="27" customWidth="1"/>
    <col min="6169" max="6169" width="11.42578125" style="27"/>
    <col min="6170" max="6171" width="11.42578125" style="27" customWidth="1"/>
    <col min="6172" max="6172" width="11.42578125" style="27"/>
    <col min="6173" max="6174" width="11.42578125" style="27" customWidth="1"/>
    <col min="6175" max="6175" width="11.42578125" style="27"/>
    <col min="6176" max="6177" width="11.42578125" style="27" customWidth="1"/>
    <col min="6178" max="6178" width="11.42578125" style="27"/>
    <col min="6179" max="6179" width="12.28515625" style="27" bestFit="1" customWidth="1"/>
    <col min="6180" max="6180" width="11.42578125" style="27" customWidth="1"/>
    <col min="6181" max="6397" width="11.42578125" style="27"/>
    <col min="6398" max="6398" width="14.28515625" style="27" bestFit="1" customWidth="1"/>
    <col min="6399" max="6399" width="27.5703125" style="27" customWidth="1"/>
    <col min="6400" max="6423" width="0" style="27" hidden="1" customWidth="1"/>
    <col min="6424" max="6424" width="11.42578125" style="27" customWidth="1"/>
    <col min="6425" max="6425" width="11.42578125" style="27"/>
    <col min="6426" max="6427" width="11.42578125" style="27" customWidth="1"/>
    <col min="6428" max="6428" width="11.42578125" style="27"/>
    <col min="6429" max="6430" width="11.42578125" style="27" customWidth="1"/>
    <col min="6431" max="6431" width="11.42578125" style="27"/>
    <col min="6432" max="6433" width="11.42578125" style="27" customWidth="1"/>
    <col min="6434" max="6434" width="11.42578125" style="27"/>
    <col min="6435" max="6435" width="12.28515625" style="27" bestFit="1" customWidth="1"/>
    <col min="6436" max="6436" width="11.42578125" style="27" customWidth="1"/>
    <col min="6437" max="6653" width="11.42578125" style="27"/>
    <col min="6654" max="6654" width="14.28515625" style="27" bestFit="1" customWidth="1"/>
    <col min="6655" max="6655" width="27.5703125" style="27" customWidth="1"/>
    <col min="6656" max="6679" width="0" style="27" hidden="1" customWidth="1"/>
    <col min="6680" max="6680" width="11.42578125" style="27" customWidth="1"/>
    <col min="6681" max="6681" width="11.42578125" style="27"/>
    <col min="6682" max="6683" width="11.42578125" style="27" customWidth="1"/>
    <col min="6684" max="6684" width="11.42578125" style="27"/>
    <col min="6685" max="6686" width="11.42578125" style="27" customWidth="1"/>
    <col min="6687" max="6687" width="11.42578125" style="27"/>
    <col min="6688" max="6689" width="11.42578125" style="27" customWidth="1"/>
    <col min="6690" max="6690" width="11.42578125" style="27"/>
    <col min="6691" max="6691" width="12.28515625" style="27" bestFit="1" customWidth="1"/>
    <col min="6692" max="6692" width="11.42578125" style="27" customWidth="1"/>
    <col min="6693" max="6909" width="11.42578125" style="27"/>
    <col min="6910" max="6910" width="14.28515625" style="27" bestFit="1" customWidth="1"/>
    <col min="6911" max="6911" width="27.5703125" style="27" customWidth="1"/>
    <col min="6912" max="6935" width="0" style="27" hidden="1" customWidth="1"/>
    <col min="6936" max="6936" width="11.42578125" style="27" customWidth="1"/>
    <col min="6937" max="6937" width="11.42578125" style="27"/>
    <col min="6938" max="6939" width="11.42578125" style="27" customWidth="1"/>
    <col min="6940" max="6940" width="11.42578125" style="27"/>
    <col min="6941" max="6942" width="11.42578125" style="27" customWidth="1"/>
    <col min="6943" max="6943" width="11.42578125" style="27"/>
    <col min="6944" max="6945" width="11.42578125" style="27" customWidth="1"/>
    <col min="6946" max="6946" width="11.42578125" style="27"/>
    <col min="6947" max="6947" width="12.28515625" style="27" bestFit="1" customWidth="1"/>
    <col min="6948" max="6948" width="11.42578125" style="27" customWidth="1"/>
    <col min="6949" max="7165" width="11.42578125" style="27"/>
    <col min="7166" max="7166" width="14.28515625" style="27" bestFit="1" customWidth="1"/>
    <col min="7167" max="7167" width="27.5703125" style="27" customWidth="1"/>
    <col min="7168" max="7191" width="0" style="27" hidden="1" customWidth="1"/>
    <col min="7192" max="7192" width="11.42578125" style="27" customWidth="1"/>
    <col min="7193" max="7193" width="11.42578125" style="27"/>
    <col min="7194" max="7195" width="11.42578125" style="27" customWidth="1"/>
    <col min="7196" max="7196" width="11.42578125" style="27"/>
    <col min="7197" max="7198" width="11.42578125" style="27" customWidth="1"/>
    <col min="7199" max="7199" width="11.42578125" style="27"/>
    <col min="7200" max="7201" width="11.42578125" style="27" customWidth="1"/>
    <col min="7202" max="7202" width="11.42578125" style="27"/>
    <col min="7203" max="7203" width="12.28515625" style="27" bestFit="1" customWidth="1"/>
    <col min="7204" max="7204" width="11.42578125" style="27" customWidth="1"/>
    <col min="7205" max="7421" width="11.42578125" style="27"/>
    <col min="7422" max="7422" width="14.28515625" style="27" bestFit="1" customWidth="1"/>
    <col min="7423" max="7423" width="27.5703125" style="27" customWidth="1"/>
    <col min="7424" max="7447" width="0" style="27" hidden="1" customWidth="1"/>
    <col min="7448" max="7448" width="11.42578125" style="27" customWidth="1"/>
    <col min="7449" max="7449" width="11.42578125" style="27"/>
    <col min="7450" max="7451" width="11.42578125" style="27" customWidth="1"/>
    <col min="7452" max="7452" width="11.42578125" style="27"/>
    <col min="7453" max="7454" width="11.42578125" style="27" customWidth="1"/>
    <col min="7455" max="7455" width="11.42578125" style="27"/>
    <col min="7456" max="7457" width="11.42578125" style="27" customWidth="1"/>
    <col min="7458" max="7458" width="11.42578125" style="27"/>
    <col min="7459" max="7459" width="12.28515625" style="27" bestFit="1" customWidth="1"/>
    <col min="7460" max="7460" width="11.42578125" style="27" customWidth="1"/>
    <col min="7461" max="7677" width="11.42578125" style="27"/>
    <col min="7678" max="7678" width="14.28515625" style="27" bestFit="1" customWidth="1"/>
    <col min="7679" max="7679" width="27.5703125" style="27" customWidth="1"/>
    <col min="7680" max="7703" width="0" style="27" hidden="1" customWidth="1"/>
    <col min="7704" max="7704" width="11.42578125" style="27" customWidth="1"/>
    <col min="7705" max="7705" width="11.42578125" style="27"/>
    <col min="7706" max="7707" width="11.42578125" style="27" customWidth="1"/>
    <col min="7708" max="7708" width="11.42578125" style="27"/>
    <col min="7709" max="7710" width="11.42578125" style="27" customWidth="1"/>
    <col min="7711" max="7711" width="11.42578125" style="27"/>
    <col min="7712" max="7713" width="11.42578125" style="27" customWidth="1"/>
    <col min="7714" max="7714" width="11.42578125" style="27"/>
    <col min="7715" max="7715" width="12.28515625" style="27" bestFit="1" customWidth="1"/>
    <col min="7716" max="7716" width="11.42578125" style="27" customWidth="1"/>
    <col min="7717" max="7933" width="11.42578125" style="27"/>
    <col min="7934" max="7934" width="14.28515625" style="27" bestFit="1" customWidth="1"/>
    <col min="7935" max="7935" width="27.5703125" style="27" customWidth="1"/>
    <col min="7936" max="7959" width="0" style="27" hidden="1" customWidth="1"/>
    <col min="7960" max="7960" width="11.42578125" style="27" customWidth="1"/>
    <col min="7961" max="7961" width="11.42578125" style="27"/>
    <col min="7962" max="7963" width="11.42578125" style="27" customWidth="1"/>
    <col min="7964" max="7964" width="11.42578125" style="27"/>
    <col min="7965" max="7966" width="11.42578125" style="27" customWidth="1"/>
    <col min="7967" max="7967" width="11.42578125" style="27"/>
    <col min="7968" max="7969" width="11.42578125" style="27" customWidth="1"/>
    <col min="7970" max="7970" width="11.42578125" style="27"/>
    <col min="7971" max="7971" width="12.28515625" style="27" bestFit="1" customWidth="1"/>
    <col min="7972" max="7972" width="11.42578125" style="27" customWidth="1"/>
    <col min="7973" max="8189" width="11.42578125" style="27"/>
    <col min="8190" max="8190" width="14.28515625" style="27" bestFit="1" customWidth="1"/>
    <col min="8191" max="8191" width="27.5703125" style="27" customWidth="1"/>
    <col min="8192" max="8215" width="0" style="27" hidden="1" customWidth="1"/>
    <col min="8216" max="8216" width="11.42578125" style="27" customWidth="1"/>
    <col min="8217" max="8217" width="11.42578125" style="27"/>
    <col min="8218" max="8219" width="11.42578125" style="27" customWidth="1"/>
    <col min="8220" max="8220" width="11.42578125" style="27"/>
    <col min="8221" max="8222" width="11.42578125" style="27" customWidth="1"/>
    <col min="8223" max="8223" width="11.42578125" style="27"/>
    <col min="8224" max="8225" width="11.42578125" style="27" customWidth="1"/>
    <col min="8226" max="8226" width="11.42578125" style="27"/>
    <col min="8227" max="8227" width="12.28515625" style="27" bestFit="1" customWidth="1"/>
    <col min="8228" max="8228" width="11.42578125" style="27" customWidth="1"/>
    <col min="8229" max="8445" width="11.42578125" style="27"/>
    <col min="8446" max="8446" width="14.28515625" style="27" bestFit="1" customWidth="1"/>
    <col min="8447" max="8447" width="27.5703125" style="27" customWidth="1"/>
    <col min="8448" max="8471" width="0" style="27" hidden="1" customWidth="1"/>
    <col min="8472" max="8472" width="11.42578125" style="27" customWidth="1"/>
    <col min="8473" max="8473" width="11.42578125" style="27"/>
    <col min="8474" max="8475" width="11.42578125" style="27" customWidth="1"/>
    <col min="8476" max="8476" width="11.42578125" style="27"/>
    <col min="8477" max="8478" width="11.42578125" style="27" customWidth="1"/>
    <col min="8479" max="8479" width="11.42578125" style="27"/>
    <col min="8480" max="8481" width="11.42578125" style="27" customWidth="1"/>
    <col min="8482" max="8482" width="11.42578125" style="27"/>
    <col min="8483" max="8483" width="12.28515625" style="27" bestFit="1" customWidth="1"/>
    <col min="8484" max="8484" width="11.42578125" style="27" customWidth="1"/>
    <col min="8485" max="8701" width="11.42578125" style="27"/>
    <col min="8702" max="8702" width="14.28515625" style="27" bestFit="1" customWidth="1"/>
    <col min="8703" max="8703" width="27.5703125" style="27" customWidth="1"/>
    <col min="8704" max="8727" width="0" style="27" hidden="1" customWidth="1"/>
    <col min="8728" max="8728" width="11.42578125" style="27" customWidth="1"/>
    <col min="8729" max="8729" width="11.42578125" style="27"/>
    <col min="8730" max="8731" width="11.42578125" style="27" customWidth="1"/>
    <col min="8732" max="8732" width="11.42578125" style="27"/>
    <col min="8733" max="8734" width="11.42578125" style="27" customWidth="1"/>
    <col min="8735" max="8735" width="11.42578125" style="27"/>
    <col min="8736" max="8737" width="11.42578125" style="27" customWidth="1"/>
    <col min="8738" max="8738" width="11.42578125" style="27"/>
    <col min="8739" max="8739" width="12.28515625" style="27" bestFit="1" customWidth="1"/>
    <col min="8740" max="8740" width="11.42578125" style="27" customWidth="1"/>
    <col min="8741" max="8957" width="11.42578125" style="27"/>
    <col min="8958" max="8958" width="14.28515625" style="27" bestFit="1" customWidth="1"/>
    <col min="8959" max="8959" width="27.5703125" style="27" customWidth="1"/>
    <col min="8960" max="8983" width="0" style="27" hidden="1" customWidth="1"/>
    <col min="8984" max="8984" width="11.42578125" style="27" customWidth="1"/>
    <col min="8985" max="8985" width="11.42578125" style="27"/>
    <col min="8986" max="8987" width="11.42578125" style="27" customWidth="1"/>
    <col min="8988" max="8988" width="11.42578125" style="27"/>
    <col min="8989" max="8990" width="11.42578125" style="27" customWidth="1"/>
    <col min="8991" max="8991" width="11.42578125" style="27"/>
    <col min="8992" max="8993" width="11.42578125" style="27" customWidth="1"/>
    <col min="8994" max="8994" width="11.42578125" style="27"/>
    <col min="8995" max="8995" width="12.28515625" style="27" bestFit="1" customWidth="1"/>
    <col min="8996" max="8996" width="11.42578125" style="27" customWidth="1"/>
    <col min="8997" max="9213" width="11.42578125" style="27"/>
    <col min="9214" max="9214" width="14.28515625" style="27" bestFit="1" customWidth="1"/>
    <col min="9215" max="9215" width="27.5703125" style="27" customWidth="1"/>
    <col min="9216" max="9239" width="0" style="27" hidden="1" customWidth="1"/>
    <col min="9240" max="9240" width="11.42578125" style="27" customWidth="1"/>
    <col min="9241" max="9241" width="11.42578125" style="27"/>
    <col min="9242" max="9243" width="11.42578125" style="27" customWidth="1"/>
    <col min="9244" max="9244" width="11.42578125" style="27"/>
    <col min="9245" max="9246" width="11.42578125" style="27" customWidth="1"/>
    <col min="9247" max="9247" width="11.42578125" style="27"/>
    <col min="9248" max="9249" width="11.42578125" style="27" customWidth="1"/>
    <col min="9250" max="9250" width="11.42578125" style="27"/>
    <col min="9251" max="9251" width="12.28515625" style="27" bestFit="1" customWidth="1"/>
    <col min="9252" max="9252" width="11.42578125" style="27" customWidth="1"/>
    <col min="9253" max="9469" width="11.42578125" style="27"/>
    <col min="9470" max="9470" width="14.28515625" style="27" bestFit="1" customWidth="1"/>
    <col min="9471" max="9471" width="27.5703125" style="27" customWidth="1"/>
    <col min="9472" max="9495" width="0" style="27" hidden="1" customWidth="1"/>
    <col min="9496" max="9496" width="11.42578125" style="27" customWidth="1"/>
    <col min="9497" max="9497" width="11.42578125" style="27"/>
    <col min="9498" max="9499" width="11.42578125" style="27" customWidth="1"/>
    <col min="9500" max="9500" width="11.42578125" style="27"/>
    <col min="9501" max="9502" width="11.42578125" style="27" customWidth="1"/>
    <col min="9503" max="9503" width="11.42578125" style="27"/>
    <col min="9504" max="9505" width="11.42578125" style="27" customWidth="1"/>
    <col min="9506" max="9506" width="11.42578125" style="27"/>
    <col min="9507" max="9507" width="12.28515625" style="27" bestFit="1" customWidth="1"/>
    <col min="9508" max="9508" width="11.42578125" style="27" customWidth="1"/>
    <col min="9509" max="9725" width="11.42578125" style="27"/>
    <col min="9726" max="9726" width="14.28515625" style="27" bestFit="1" customWidth="1"/>
    <col min="9727" max="9727" width="27.5703125" style="27" customWidth="1"/>
    <col min="9728" max="9751" width="0" style="27" hidden="1" customWidth="1"/>
    <col min="9752" max="9752" width="11.42578125" style="27" customWidth="1"/>
    <col min="9753" max="9753" width="11.42578125" style="27"/>
    <col min="9754" max="9755" width="11.42578125" style="27" customWidth="1"/>
    <col min="9756" max="9756" width="11.42578125" style="27"/>
    <col min="9757" max="9758" width="11.42578125" style="27" customWidth="1"/>
    <col min="9759" max="9759" width="11.42578125" style="27"/>
    <col min="9760" max="9761" width="11.42578125" style="27" customWidth="1"/>
    <col min="9762" max="9762" width="11.42578125" style="27"/>
    <col min="9763" max="9763" width="12.28515625" style="27" bestFit="1" customWidth="1"/>
    <col min="9764" max="9764" width="11.42578125" style="27" customWidth="1"/>
    <col min="9765" max="9981" width="11.42578125" style="27"/>
    <col min="9982" max="9982" width="14.28515625" style="27" bestFit="1" customWidth="1"/>
    <col min="9983" max="9983" width="27.5703125" style="27" customWidth="1"/>
    <col min="9984" max="10007" width="0" style="27" hidden="1" customWidth="1"/>
    <col min="10008" max="10008" width="11.42578125" style="27" customWidth="1"/>
    <col min="10009" max="10009" width="11.42578125" style="27"/>
    <col min="10010" max="10011" width="11.42578125" style="27" customWidth="1"/>
    <col min="10012" max="10012" width="11.42578125" style="27"/>
    <col min="10013" max="10014" width="11.42578125" style="27" customWidth="1"/>
    <col min="10015" max="10015" width="11.42578125" style="27"/>
    <col min="10016" max="10017" width="11.42578125" style="27" customWidth="1"/>
    <col min="10018" max="10018" width="11.42578125" style="27"/>
    <col min="10019" max="10019" width="12.28515625" style="27" bestFit="1" customWidth="1"/>
    <col min="10020" max="10020" width="11.42578125" style="27" customWidth="1"/>
    <col min="10021" max="10237" width="11.42578125" style="27"/>
    <col min="10238" max="10238" width="14.28515625" style="27" bestFit="1" customWidth="1"/>
    <col min="10239" max="10239" width="27.5703125" style="27" customWidth="1"/>
    <col min="10240" max="10263" width="0" style="27" hidden="1" customWidth="1"/>
    <col min="10264" max="10264" width="11.42578125" style="27" customWidth="1"/>
    <col min="10265" max="10265" width="11.42578125" style="27"/>
    <col min="10266" max="10267" width="11.42578125" style="27" customWidth="1"/>
    <col min="10268" max="10268" width="11.42578125" style="27"/>
    <col min="10269" max="10270" width="11.42578125" style="27" customWidth="1"/>
    <col min="10271" max="10271" width="11.42578125" style="27"/>
    <col min="10272" max="10273" width="11.42578125" style="27" customWidth="1"/>
    <col min="10274" max="10274" width="11.42578125" style="27"/>
    <col min="10275" max="10275" width="12.28515625" style="27" bestFit="1" customWidth="1"/>
    <col min="10276" max="10276" width="11.42578125" style="27" customWidth="1"/>
    <col min="10277" max="10493" width="11.42578125" style="27"/>
    <col min="10494" max="10494" width="14.28515625" style="27" bestFit="1" customWidth="1"/>
    <col min="10495" max="10495" width="27.5703125" style="27" customWidth="1"/>
    <col min="10496" max="10519" width="0" style="27" hidden="1" customWidth="1"/>
    <col min="10520" max="10520" width="11.42578125" style="27" customWidth="1"/>
    <col min="10521" max="10521" width="11.42578125" style="27"/>
    <col min="10522" max="10523" width="11.42578125" style="27" customWidth="1"/>
    <col min="10524" max="10524" width="11.42578125" style="27"/>
    <col min="10525" max="10526" width="11.42578125" style="27" customWidth="1"/>
    <col min="10527" max="10527" width="11.42578125" style="27"/>
    <col min="10528" max="10529" width="11.42578125" style="27" customWidth="1"/>
    <col min="10530" max="10530" width="11.42578125" style="27"/>
    <col min="10531" max="10531" width="12.28515625" style="27" bestFit="1" customWidth="1"/>
    <col min="10532" max="10532" width="11.42578125" style="27" customWidth="1"/>
    <col min="10533" max="10749" width="11.42578125" style="27"/>
    <col min="10750" max="10750" width="14.28515625" style="27" bestFit="1" customWidth="1"/>
    <col min="10751" max="10751" width="27.5703125" style="27" customWidth="1"/>
    <col min="10752" max="10775" width="0" style="27" hidden="1" customWidth="1"/>
    <col min="10776" max="10776" width="11.42578125" style="27" customWidth="1"/>
    <col min="10777" max="10777" width="11.42578125" style="27"/>
    <col min="10778" max="10779" width="11.42578125" style="27" customWidth="1"/>
    <col min="10780" max="10780" width="11.42578125" style="27"/>
    <col min="10781" max="10782" width="11.42578125" style="27" customWidth="1"/>
    <col min="10783" max="10783" width="11.42578125" style="27"/>
    <col min="10784" max="10785" width="11.42578125" style="27" customWidth="1"/>
    <col min="10786" max="10786" width="11.42578125" style="27"/>
    <col min="10787" max="10787" width="12.28515625" style="27" bestFit="1" customWidth="1"/>
    <col min="10788" max="10788" width="11.42578125" style="27" customWidth="1"/>
    <col min="10789" max="11005" width="11.42578125" style="27"/>
    <col min="11006" max="11006" width="14.28515625" style="27" bestFit="1" customWidth="1"/>
    <col min="11007" max="11007" width="27.5703125" style="27" customWidth="1"/>
    <col min="11008" max="11031" width="0" style="27" hidden="1" customWidth="1"/>
    <col min="11032" max="11032" width="11.42578125" style="27" customWidth="1"/>
    <col min="11033" max="11033" width="11.42578125" style="27"/>
    <col min="11034" max="11035" width="11.42578125" style="27" customWidth="1"/>
    <col min="11036" max="11036" width="11.42578125" style="27"/>
    <col min="11037" max="11038" width="11.42578125" style="27" customWidth="1"/>
    <col min="11039" max="11039" width="11.42578125" style="27"/>
    <col min="11040" max="11041" width="11.42578125" style="27" customWidth="1"/>
    <col min="11042" max="11042" width="11.42578125" style="27"/>
    <col min="11043" max="11043" width="12.28515625" style="27" bestFit="1" customWidth="1"/>
    <col min="11044" max="11044" width="11.42578125" style="27" customWidth="1"/>
    <col min="11045" max="11261" width="11.42578125" style="27"/>
    <col min="11262" max="11262" width="14.28515625" style="27" bestFit="1" customWidth="1"/>
    <col min="11263" max="11263" width="27.5703125" style="27" customWidth="1"/>
    <col min="11264" max="11287" width="0" style="27" hidden="1" customWidth="1"/>
    <col min="11288" max="11288" width="11.42578125" style="27" customWidth="1"/>
    <col min="11289" max="11289" width="11.42578125" style="27"/>
    <col min="11290" max="11291" width="11.42578125" style="27" customWidth="1"/>
    <col min="11292" max="11292" width="11.42578125" style="27"/>
    <col min="11293" max="11294" width="11.42578125" style="27" customWidth="1"/>
    <col min="11295" max="11295" width="11.42578125" style="27"/>
    <col min="11296" max="11297" width="11.42578125" style="27" customWidth="1"/>
    <col min="11298" max="11298" width="11.42578125" style="27"/>
    <col min="11299" max="11299" width="12.28515625" style="27" bestFit="1" customWidth="1"/>
    <col min="11300" max="11300" width="11.42578125" style="27" customWidth="1"/>
    <col min="11301" max="11517" width="11.42578125" style="27"/>
    <col min="11518" max="11518" width="14.28515625" style="27" bestFit="1" customWidth="1"/>
    <col min="11519" max="11519" width="27.5703125" style="27" customWidth="1"/>
    <col min="11520" max="11543" width="0" style="27" hidden="1" customWidth="1"/>
    <col min="11544" max="11544" width="11.42578125" style="27" customWidth="1"/>
    <col min="11545" max="11545" width="11.42578125" style="27"/>
    <col min="11546" max="11547" width="11.42578125" style="27" customWidth="1"/>
    <col min="11548" max="11548" width="11.42578125" style="27"/>
    <col min="11549" max="11550" width="11.42578125" style="27" customWidth="1"/>
    <col min="11551" max="11551" width="11.42578125" style="27"/>
    <col min="11552" max="11553" width="11.42578125" style="27" customWidth="1"/>
    <col min="11554" max="11554" width="11.42578125" style="27"/>
    <col min="11555" max="11555" width="12.28515625" style="27" bestFit="1" customWidth="1"/>
    <col min="11556" max="11556" width="11.42578125" style="27" customWidth="1"/>
    <col min="11557" max="11773" width="11.42578125" style="27"/>
    <col min="11774" max="11774" width="14.28515625" style="27" bestFit="1" customWidth="1"/>
    <col min="11775" max="11775" width="27.5703125" style="27" customWidth="1"/>
    <col min="11776" max="11799" width="0" style="27" hidden="1" customWidth="1"/>
    <col min="11800" max="11800" width="11.42578125" style="27" customWidth="1"/>
    <col min="11801" max="11801" width="11.42578125" style="27"/>
    <col min="11802" max="11803" width="11.42578125" style="27" customWidth="1"/>
    <col min="11804" max="11804" width="11.42578125" style="27"/>
    <col min="11805" max="11806" width="11.42578125" style="27" customWidth="1"/>
    <col min="11807" max="11807" width="11.42578125" style="27"/>
    <col min="11808" max="11809" width="11.42578125" style="27" customWidth="1"/>
    <col min="11810" max="11810" width="11.42578125" style="27"/>
    <col min="11811" max="11811" width="12.28515625" style="27" bestFit="1" customWidth="1"/>
    <col min="11812" max="11812" width="11.42578125" style="27" customWidth="1"/>
    <col min="11813" max="12029" width="11.42578125" style="27"/>
    <col min="12030" max="12030" width="14.28515625" style="27" bestFit="1" customWidth="1"/>
    <col min="12031" max="12031" width="27.5703125" style="27" customWidth="1"/>
    <col min="12032" max="12055" width="0" style="27" hidden="1" customWidth="1"/>
    <col min="12056" max="12056" width="11.42578125" style="27" customWidth="1"/>
    <col min="12057" max="12057" width="11.42578125" style="27"/>
    <col min="12058" max="12059" width="11.42578125" style="27" customWidth="1"/>
    <col min="12060" max="12060" width="11.42578125" style="27"/>
    <col min="12061" max="12062" width="11.42578125" style="27" customWidth="1"/>
    <col min="12063" max="12063" width="11.42578125" style="27"/>
    <col min="12064" max="12065" width="11.42578125" style="27" customWidth="1"/>
    <col min="12066" max="12066" width="11.42578125" style="27"/>
    <col min="12067" max="12067" width="12.28515625" style="27" bestFit="1" customWidth="1"/>
    <col min="12068" max="12068" width="11.42578125" style="27" customWidth="1"/>
    <col min="12069" max="12285" width="11.42578125" style="27"/>
    <col min="12286" max="12286" width="14.28515625" style="27" bestFit="1" customWidth="1"/>
    <col min="12287" max="12287" width="27.5703125" style="27" customWidth="1"/>
    <col min="12288" max="12311" width="0" style="27" hidden="1" customWidth="1"/>
    <col min="12312" max="12312" width="11.42578125" style="27" customWidth="1"/>
    <col min="12313" max="12313" width="11.42578125" style="27"/>
    <col min="12314" max="12315" width="11.42578125" style="27" customWidth="1"/>
    <col min="12316" max="12316" width="11.42578125" style="27"/>
    <col min="12317" max="12318" width="11.42578125" style="27" customWidth="1"/>
    <col min="12319" max="12319" width="11.42578125" style="27"/>
    <col min="12320" max="12321" width="11.42578125" style="27" customWidth="1"/>
    <col min="12322" max="12322" width="11.42578125" style="27"/>
    <col min="12323" max="12323" width="12.28515625" style="27" bestFit="1" customWidth="1"/>
    <col min="12324" max="12324" width="11.42578125" style="27" customWidth="1"/>
    <col min="12325" max="12541" width="11.42578125" style="27"/>
    <col min="12542" max="12542" width="14.28515625" style="27" bestFit="1" customWidth="1"/>
    <col min="12543" max="12543" width="27.5703125" style="27" customWidth="1"/>
    <col min="12544" max="12567" width="0" style="27" hidden="1" customWidth="1"/>
    <col min="12568" max="12568" width="11.42578125" style="27" customWidth="1"/>
    <col min="12569" max="12569" width="11.42578125" style="27"/>
    <col min="12570" max="12571" width="11.42578125" style="27" customWidth="1"/>
    <col min="12572" max="12572" width="11.42578125" style="27"/>
    <col min="12573" max="12574" width="11.42578125" style="27" customWidth="1"/>
    <col min="12575" max="12575" width="11.42578125" style="27"/>
    <col min="12576" max="12577" width="11.42578125" style="27" customWidth="1"/>
    <col min="12578" max="12578" width="11.42578125" style="27"/>
    <col min="12579" max="12579" width="12.28515625" style="27" bestFit="1" customWidth="1"/>
    <col min="12580" max="12580" width="11.42578125" style="27" customWidth="1"/>
    <col min="12581" max="12797" width="11.42578125" style="27"/>
    <col min="12798" max="12798" width="14.28515625" style="27" bestFit="1" customWidth="1"/>
    <col min="12799" max="12799" width="27.5703125" style="27" customWidth="1"/>
    <col min="12800" max="12823" width="0" style="27" hidden="1" customWidth="1"/>
    <col min="12824" max="12824" width="11.42578125" style="27" customWidth="1"/>
    <col min="12825" max="12825" width="11.42578125" style="27"/>
    <col min="12826" max="12827" width="11.42578125" style="27" customWidth="1"/>
    <col min="12828" max="12828" width="11.42578125" style="27"/>
    <col min="12829" max="12830" width="11.42578125" style="27" customWidth="1"/>
    <col min="12831" max="12831" width="11.42578125" style="27"/>
    <col min="12832" max="12833" width="11.42578125" style="27" customWidth="1"/>
    <col min="12834" max="12834" width="11.42578125" style="27"/>
    <col min="12835" max="12835" width="12.28515625" style="27" bestFit="1" customWidth="1"/>
    <col min="12836" max="12836" width="11.42578125" style="27" customWidth="1"/>
    <col min="12837" max="13053" width="11.42578125" style="27"/>
    <col min="13054" max="13054" width="14.28515625" style="27" bestFit="1" customWidth="1"/>
    <col min="13055" max="13055" width="27.5703125" style="27" customWidth="1"/>
    <col min="13056" max="13079" width="0" style="27" hidden="1" customWidth="1"/>
    <col min="13080" max="13080" width="11.42578125" style="27" customWidth="1"/>
    <col min="13081" max="13081" width="11.42578125" style="27"/>
    <col min="13082" max="13083" width="11.42578125" style="27" customWidth="1"/>
    <col min="13084" max="13084" width="11.42578125" style="27"/>
    <col min="13085" max="13086" width="11.42578125" style="27" customWidth="1"/>
    <col min="13087" max="13087" width="11.42578125" style="27"/>
    <col min="13088" max="13089" width="11.42578125" style="27" customWidth="1"/>
    <col min="13090" max="13090" width="11.42578125" style="27"/>
    <col min="13091" max="13091" width="12.28515625" style="27" bestFit="1" customWidth="1"/>
    <col min="13092" max="13092" width="11.42578125" style="27" customWidth="1"/>
    <col min="13093" max="13309" width="11.42578125" style="27"/>
    <col min="13310" max="13310" width="14.28515625" style="27" bestFit="1" customWidth="1"/>
    <col min="13311" max="13311" width="27.5703125" style="27" customWidth="1"/>
    <col min="13312" max="13335" width="0" style="27" hidden="1" customWidth="1"/>
    <col min="13336" max="13336" width="11.42578125" style="27" customWidth="1"/>
    <col min="13337" max="13337" width="11.42578125" style="27"/>
    <col min="13338" max="13339" width="11.42578125" style="27" customWidth="1"/>
    <col min="13340" max="13340" width="11.42578125" style="27"/>
    <col min="13341" max="13342" width="11.42578125" style="27" customWidth="1"/>
    <col min="13343" max="13343" width="11.42578125" style="27"/>
    <col min="13344" max="13345" width="11.42578125" style="27" customWidth="1"/>
    <col min="13346" max="13346" width="11.42578125" style="27"/>
    <col min="13347" max="13347" width="12.28515625" style="27" bestFit="1" customWidth="1"/>
    <col min="13348" max="13348" width="11.42578125" style="27" customWidth="1"/>
    <col min="13349" max="13565" width="11.42578125" style="27"/>
    <col min="13566" max="13566" width="14.28515625" style="27" bestFit="1" customWidth="1"/>
    <col min="13567" max="13567" width="27.5703125" style="27" customWidth="1"/>
    <col min="13568" max="13591" width="0" style="27" hidden="1" customWidth="1"/>
    <col min="13592" max="13592" width="11.42578125" style="27" customWidth="1"/>
    <col min="13593" max="13593" width="11.42578125" style="27"/>
    <col min="13594" max="13595" width="11.42578125" style="27" customWidth="1"/>
    <col min="13596" max="13596" width="11.42578125" style="27"/>
    <col min="13597" max="13598" width="11.42578125" style="27" customWidth="1"/>
    <col min="13599" max="13599" width="11.42578125" style="27"/>
    <col min="13600" max="13601" width="11.42578125" style="27" customWidth="1"/>
    <col min="13602" max="13602" width="11.42578125" style="27"/>
    <col min="13603" max="13603" width="12.28515625" style="27" bestFit="1" customWidth="1"/>
    <col min="13604" max="13604" width="11.42578125" style="27" customWidth="1"/>
    <col min="13605" max="13821" width="11.42578125" style="27"/>
    <col min="13822" max="13822" width="14.28515625" style="27" bestFit="1" customWidth="1"/>
    <col min="13823" max="13823" width="27.5703125" style="27" customWidth="1"/>
    <col min="13824" max="13847" width="0" style="27" hidden="1" customWidth="1"/>
    <col min="13848" max="13848" width="11.42578125" style="27" customWidth="1"/>
    <col min="13849" max="13849" width="11.42578125" style="27"/>
    <col min="13850" max="13851" width="11.42578125" style="27" customWidth="1"/>
    <col min="13852" max="13852" width="11.42578125" style="27"/>
    <col min="13853" max="13854" width="11.42578125" style="27" customWidth="1"/>
    <col min="13855" max="13855" width="11.42578125" style="27"/>
    <col min="13856" max="13857" width="11.42578125" style="27" customWidth="1"/>
    <col min="13858" max="13858" width="11.42578125" style="27"/>
    <col min="13859" max="13859" width="12.28515625" style="27" bestFit="1" customWidth="1"/>
    <col min="13860" max="13860" width="11.42578125" style="27" customWidth="1"/>
    <col min="13861" max="14077" width="11.42578125" style="27"/>
    <col min="14078" max="14078" width="14.28515625" style="27" bestFit="1" customWidth="1"/>
    <col min="14079" max="14079" width="27.5703125" style="27" customWidth="1"/>
    <col min="14080" max="14103" width="0" style="27" hidden="1" customWidth="1"/>
    <col min="14104" max="14104" width="11.42578125" style="27" customWidth="1"/>
    <col min="14105" max="14105" width="11.42578125" style="27"/>
    <col min="14106" max="14107" width="11.42578125" style="27" customWidth="1"/>
    <col min="14108" max="14108" width="11.42578125" style="27"/>
    <col min="14109" max="14110" width="11.42578125" style="27" customWidth="1"/>
    <col min="14111" max="14111" width="11.42578125" style="27"/>
    <col min="14112" max="14113" width="11.42578125" style="27" customWidth="1"/>
    <col min="14114" max="14114" width="11.42578125" style="27"/>
    <col min="14115" max="14115" width="12.28515625" style="27" bestFit="1" customWidth="1"/>
    <col min="14116" max="14116" width="11.42578125" style="27" customWidth="1"/>
    <col min="14117" max="14333" width="11.42578125" style="27"/>
    <col min="14334" max="14334" width="14.28515625" style="27" bestFit="1" customWidth="1"/>
    <col min="14335" max="14335" width="27.5703125" style="27" customWidth="1"/>
    <col min="14336" max="14359" width="0" style="27" hidden="1" customWidth="1"/>
    <col min="14360" max="14360" width="11.42578125" style="27" customWidth="1"/>
    <col min="14361" max="14361" width="11.42578125" style="27"/>
    <col min="14362" max="14363" width="11.42578125" style="27" customWidth="1"/>
    <col min="14364" max="14364" width="11.42578125" style="27"/>
    <col min="14365" max="14366" width="11.42578125" style="27" customWidth="1"/>
    <col min="14367" max="14367" width="11.42578125" style="27"/>
    <col min="14368" max="14369" width="11.42578125" style="27" customWidth="1"/>
    <col min="14370" max="14370" width="11.42578125" style="27"/>
    <col min="14371" max="14371" width="12.28515625" style="27" bestFit="1" customWidth="1"/>
    <col min="14372" max="14372" width="11.42578125" style="27" customWidth="1"/>
    <col min="14373" max="14589" width="11.42578125" style="27"/>
    <col min="14590" max="14590" width="14.28515625" style="27" bestFit="1" customWidth="1"/>
    <col min="14591" max="14591" width="27.5703125" style="27" customWidth="1"/>
    <col min="14592" max="14615" width="0" style="27" hidden="1" customWidth="1"/>
    <col min="14616" max="14616" width="11.42578125" style="27" customWidth="1"/>
    <col min="14617" max="14617" width="11.42578125" style="27"/>
    <col min="14618" max="14619" width="11.42578125" style="27" customWidth="1"/>
    <col min="14620" max="14620" width="11.42578125" style="27"/>
    <col min="14621" max="14622" width="11.42578125" style="27" customWidth="1"/>
    <col min="14623" max="14623" width="11.42578125" style="27"/>
    <col min="14624" max="14625" width="11.42578125" style="27" customWidth="1"/>
    <col min="14626" max="14626" width="11.42578125" style="27"/>
    <col min="14627" max="14627" width="12.28515625" style="27" bestFit="1" customWidth="1"/>
    <col min="14628" max="14628" width="11.42578125" style="27" customWidth="1"/>
    <col min="14629" max="14845" width="11.42578125" style="27"/>
    <col min="14846" max="14846" width="14.28515625" style="27" bestFit="1" customWidth="1"/>
    <col min="14847" max="14847" width="27.5703125" style="27" customWidth="1"/>
    <col min="14848" max="14871" width="0" style="27" hidden="1" customWidth="1"/>
    <col min="14872" max="14872" width="11.42578125" style="27" customWidth="1"/>
    <col min="14873" max="14873" width="11.42578125" style="27"/>
    <col min="14874" max="14875" width="11.42578125" style="27" customWidth="1"/>
    <col min="14876" max="14876" width="11.42578125" style="27"/>
    <col min="14877" max="14878" width="11.42578125" style="27" customWidth="1"/>
    <col min="14879" max="14879" width="11.42578125" style="27"/>
    <col min="14880" max="14881" width="11.42578125" style="27" customWidth="1"/>
    <col min="14882" max="14882" width="11.42578125" style="27"/>
    <col min="14883" max="14883" width="12.28515625" style="27" bestFit="1" customWidth="1"/>
    <col min="14884" max="14884" width="11.42578125" style="27" customWidth="1"/>
    <col min="14885" max="15101" width="11.42578125" style="27"/>
    <col min="15102" max="15102" width="14.28515625" style="27" bestFit="1" customWidth="1"/>
    <col min="15103" max="15103" width="27.5703125" style="27" customWidth="1"/>
    <col min="15104" max="15127" width="0" style="27" hidden="1" customWidth="1"/>
    <col min="15128" max="15128" width="11.42578125" style="27" customWidth="1"/>
    <col min="15129" max="15129" width="11.42578125" style="27"/>
    <col min="15130" max="15131" width="11.42578125" style="27" customWidth="1"/>
    <col min="15132" max="15132" width="11.42578125" style="27"/>
    <col min="15133" max="15134" width="11.42578125" style="27" customWidth="1"/>
    <col min="15135" max="15135" width="11.42578125" style="27"/>
    <col min="15136" max="15137" width="11.42578125" style="27" customWidth="1"/>
    <col min="15138" max="15138" width="11.42578125" style="27"/>
    <col min="15139" max="15139" width="12.28515625" style="27" bestFit="1" customWidth="1"/>
    <col min="15140" max="15140" width="11.42578125" style="27" customWidth="1"/>
    <col min="15141" max="15357" width="11.42578125" style="27"/>
    <col min="15358" max="15358" width="14.28515625" style="27" bestFit="1" customWidth="1"/>
    <col min="15359" max="15359" width="27.5703125" style="27" customWidth="1"/>
    <col min="15360" max="15383" width="0" style="27" hidden="1" customWidth="1"/>
    <col min="15384" max="15384" width="11.42578125" style="27" customWidth="1"/>
    <col min="15385" max="15385" width="11.42578125" style="27"/>
    <col min="15386" max="15387" width="11.42578125" style="27" customWidth="1"/>
    <col min="15388" max="15388" width="11.42578125" style="27"/>
    <col min="15389" max="15390" width="11.42578125" style="27" customWidth="1"/>
    <col min="15391" max="15391" width="11.42578125" style="27"/>
    <col min="15392" max="15393" width="11.42578125" style="27" customWidth="1"/>
    <col min="15394" max="15394" width="11.42578125" style="27"/>
    <col min="15395" max="15395" width="12.28515625" style="27" bestFit="1" customWidth="1"/>
    <col min="15396" max="15396" width="11.42578125" style="27" customWidth="1"/>
    <col min="15397" max="15613" width="11.42578125" style="27"/>
    <col min="15614" max="15614" width="14.28515625" style="27" bestFit="1" customWidth="1"/>
    <col min="15615" max="15615" width="27.5703125" style="27" customWidth="1"/>
    <col min="15616" max="15639" width="0" style="27" hidden="1" customWidth="1"/>
    <col min="15640" max="15640" width="11.42578125" style="27" customWidth="1"/>
    <col min="15641" max="15641" width="11.42578125" style="27"/>
    <col min="15642" max="15643" width="11.42578125" style="27" customWidth="1"/>
    <col min="15644" max="15644" width="11.42578125" style="27"/>
    <col min="15645" max="15646" width="11.42578125" style="27" customWidth="1"/>
    <col min="15647" max="15647" width="11.42578125" style="27"/>
    <col min="15648" max="15649" width="11.42578125" style="27" customWidth="1"/>
    <col min="15650" max="15650" width="11.42578125" style="27"/>
    <col min="15651" max="15651" width="12.28515625" style="27" bestFit="1" customWidth="1"/>
    <col min="15652" max="15652" width="11.42578125" style="27" customWidth="1"/>
    <col min="15653" max="15869" width="11.42578125" style="27"/>
    <col min="15870" max="15870" width="14.28515625" style="27" bestFit="1" customWidth="1"/>
    <col min="15871" max="15871" width="27.5703125" style="27" customWidth="1"/>
    <col min="15872" max="15895" width="0" style="27" hidden="1" customWidth="1"/>
    <col min="15896" max="15896" width="11.42578125" style="27" customWidth="1"/>
    <col min="15897" max="15897" width="11.42578125" style="27"/>
    <col min="15898" max="15899" width="11.42578125" style="27" customWidth="1"/>
    <col min="15900" max="15900" width="11.42578125" style="27"/>
    <col min="15901" max="15902" width="11.42578125" style="27" customWidth="1"/>
    <col min="15903" max="15903" width="11.42578125" style="27"/>
    <col min="15904" max="15905" width="11.42578125" style="27" customWidth="1"/>
    <col min="15906" max="15906" width="11.42578125" style="27"/>
    <col min="15907" max="15907" width="12.28515625" style="27" bestFit="1" customWidth="1"/>
    <col min="15908" max="15908" width="11.42578125" style="27" customWidth="1"/>
    <col min="15909" max="16125" width="11.42578125" style="27"/>
    <col min="16126" max="16126" width="14.28515625" style="27" bestFit="1" customWidth="1"/>
    <col min="16127" max="16127" width="27.5703125" style="27" customWidth="1"/>
    <col min="16128" max="16151" width="0" style="27" hidden="1" customWidth="1"/>
    <col min="16152" max="16152" width="11.42578125" style="27" customWidth="1"/>
    <col min="16153" max="16153" width="11.42578125" style="27"/>
    <col min="16154" max="16155" width="11.42578125" style="27" customWidth="1"/>
    <col min="16156" max="16156" width="11.42578125" style="27"/>
    <col min="16157" max="16158" width="11.42578125" style="27" customWidth="1"/>
    <col min="16159" max="16159" width="11.42578125" style="27"/>
    <col min="16160" max="16161" width="11.42578125" style="27" customWidth="1"/>
    <col min="16162" max="16162" width="11.42578125" style="27"/>
    <col min="16163" max="16163" width="12.28515625" style="27" bestFit="1" customWidth="1"/>
    <col min="16164" max="16164" width="11.42578125" style="27" customWidth="1"/>
    <col min="16165" max="16384" width="11.42578125" style="27"/>
  </cols>
  <sheetData>
    <row r="1" spans="1:38" ht="19.5" customHeight="1" x14ac:dyDescent="0.2">
      <c r="A1" s="157" t="s">
        <v>34</v>
      </c>
      <c r="B1" s="157" t="s">
        <v>35</v>
      </c>
      <c r="C1" s="158" t="s">
        <v>54</v>
      </c>
      <c r="D1" s="157"/>
      <c r="E1" s="157"/>
      <c r="F1" s="157" t="s">
        <v>55</v>
      </c>
      <c r="G1" s="157"/>
      <c r="H1" s="157"/>
      <c r="I1" s="157" t="s">
        <v>56</v>
      </c>
      <c r="J1" s="157"/>
      <c r="K1" s="157"/>
      <c r="L1" s="157" t="s">
        <v>57</v>
      </c>
      <c r="M1" s="157"/>
      <c r="N1" s="157"/>
      <c r="O1" s="157" t="s">
        <v>58</v>
      </c>
      <c r="P1" s="157"/>
      <c r="Q1" s="157"/>
      <c r="R1" s="157" t="s">
        <v>59</v>
      </c>
      <c r="S1" s="157"/>
      <c r="T1" s="157"/>
      <c r="U1" s="157" t="s">
        <v>60</v>
      </c>
      <c r="V1" s="157"/>
      <c r="W1" s="157"/>
      <c r="X1" s="159" t="s">
        <v>61</v>
      </c>
      <c r="Y1" s="160"/>
      <c r="Z1" s="161"/>
      <c r="AA1" s="157" t="s">
        <v>62</v>
      </c>
      <c r="AB1" s="157"/>
      <c r="AC1" s="157"/>
      <c r="AD1" s="157" t="s">
        <v>63</v>
      </c>
      <c r="AE1" s="157"/>
      <c r="AF1" s="157"/>
      <c r="AG1" s="157" t="s">
        <v>64</v>
      </c>
      <c r="AH1" s="157"/>
      <c r="AI1" s="157"/>
      <c r="AJ1" s="157" t="s">
        <v>65</v>
      </c>
      <c r="AK1" s="157"/>
      <c r="AL1" s="157"/>
    </row>
    <row r="2" spans="1:38" s="29" customFormat="1" ht="19.5" customHeight="1" x14ac:dyDescent="0.25">
      <c r="A2" s="157"/>
      <c r="B2" s="157"/>
      <c r="C2" s="52" t="s">
        <v>38</v>
      </c>
      <c r="D2" s="52" t="s">
        <v>39</v>
      </c>
      <c r="E2" s="52" t="s">
        <v>40</v>
      </c>
      <c r="F2" s="52" t="s">
        <v>38</v>
      </c>
      <c r="G2" s="52" t="s">
        <v>39</v>
      </c>
      <c r="H2" s="52" t="s">
        <v>40</v>
      </c>
      <c r="I2" s="52" t="s">
        <v>38</v>
      </c>
      <c r="J2" s="52" t="s">
        <v>39</v>
      </c>
      <c r="K2" s="52" t="s">
        <v>40</v>
      </c>
      <c r="L2" s="52" t="s">
        <v>38</v>
      </c>
      <c r="M2" s="52" t="s">
        <v>39</v>
      </c>
      <c r="N2" s="52" t="s">
        <v>40</v>
      </c>
      <c r="O2" s="52" t="s">
        <v>38</v>
      </c>
      <c r="P2" s="52" t="s">
        <v>39</v>
      </c>
      <c r="Q2" s="52" t="s">
        <v>40</v>
      </c>
      <c r="R2" s="52" t="s">
        <v>38</v>
      </c>
      <c r="S2" s="52" t="s">
        <v>39</v>
      </c>
      <c r="T2" s="52" t="s">
        <v>40</v>
      </c>
      <c r="U2" s="52" t="s">
        <v>38</v>
      </c>
      <c r="V2" s="52" t="s">
        <v>39</v>
      </c>
      <c r="W2" s="52" t="s">
        <v>40</v>
      </c>
      <c r="X2" s="52" t="s">
        <v>38</v>
      </c>
      <c r="Y2" s="52" t="s">
        <v>39</v>
      </c>
      <c r="Z2" s="52" t="s">
        <v>40</v>
      </c>
      <c r="AA2" s="52" t="s">
        <v>38</v>
      </c>
      <c r="AB2" s="52" t="s">
        <v>39</v>
      </c>
      <c r="AC2" s="52" t="s">
        <v>40</v>
      </c>
      <c r="AD2" s="52" t="s">
        <v>38</v>
      </c>
      <c r="AE2" s="52" t="s">
        <v>39</v>
      </c>
      <c r="AF2" s="52" t="s">
        <v>40</v>
      </c>
      <c r="AG2" s="52" t="s">
        <v>38</v>
      </c>
      <c r="AH2" s="52" t="s">
        <v>39</v>
      </c>
      <c r="AI2" s="52" t="s">
        <v>40</v>
      </c>
      <c r="AJ2" s="52" t="s">
        <v>38</v>
      </c>
      <c r="AK2" s="52" t="s">
        <v>39</v>
      </c>
      <c r="AL2" s="52" t="s">
        <v>40</v>
      </c>
    </row>
    <row r="3" spans="1:38" s="55" customFormat="1" ht="38.25" customHeight="1" x14ac:dyDescent="0.2">
      <c r="A3" s="149" t="s">
        <v>51</v>
      </c>
      <c r="B3" s="46" t="s">
        <v>43</v>
      </c>
      <c r="C3" s="46">
        <v>0</v>
      </c>
      <c r="D3" s="149">
        <f>C4-C3</f>
        <v>0</v>
      </c>
      <c r="E3" s="147">
        <f>D3*50</f>
        <v>0</v>
      </c>
      <c r="F3" s="47">
        <v>0</v>
      </c>
      <c r="G3" s="149">
        <f>F4-F3</f>
        <v>0</v>
      </c>
      <c r="H3" s="147">
        <f>G3*50</f>
        <v>0</v>
      </c>
      <c r="I3" s="46">
        <v>352902</v>
      </c>
      <c r="J3" s="149">
        <f>I4-I3</f>
        <v>562</v>
      </c>
      <c r="K3" s="147">
        <f>J3*50</f>
        <v>28100</v>
      </c>
      <c r="L3" s="47">
        <v>353464</v>
      </c>
      <c r="M3" s="149">
        <f>L4-L3</f>
        <v>497</v>
      </c>
      <c r="N3" s="147">
        <f>M3*50</f>
        <v>24850</v>
      </c>
      <c r="O3" s="46">
        <v>353961</v>
      </c>
      <c r="P3" s="149">
        <f>O4-O3</f>
        <v>333</v>
      </c>
      <c r="Q3" s="147">
        <f>P3*50</f>
        <v>16650</v>
      </c>
      <c r="R3" s="46">
        <v>354294</v>
      </c>
      <c r="S3" s="149">
        <f>R4-R3</f>
        <v>164</v>
      </c>
      <c r="T3" s="147">
        <f>S3*50</f>
        <v>8200</v>
      </c>
      <c r="U3" s="46">
        <v>354458</v>
      </c>
      <c r="V3" s="149">
        <f>U4-U3</f>
        <v>133</v>
      </c>
      <c r="W3" s="147">
        <f>V3*50</f>
        <v>6650</v>
      </c>
      <c r="X3" s="46">
        <v>354591</v>
      </c>
      <c r="Y3" s="149">
        <f>X4-X3</f>
        <v>491</v>
      </c>
      <c r="Z3" s="147">
        <f>Y3*50</f>
        <v>24550</v>
      </c>
      <c r="AA3" s="46">
        <v>355082</v>
      </c>
      <c r="AB3" s="149">
        <f>AA4-AA3</f>
        <v>235</v>
      </c>
      <c r="AC3" s="147">
        <f>AB3*50</f>
        <v>11750</v>
      </c>
      <c r="AD3" s="51">
        <v>355317</v>
      </c>
      <c r="AE3" s="149">
        <f>AD4-AD3</f>
        <v>255</v>
      </c>
      <c r="AF3" s="147">
        <f>AE3*50</f>
        <v>12750</v>
      </c>
      <c r="AG3" s="51">
        <v>355572</v>
      </c>
      <c r="AH3" s="149">
        <f>AG4-AG3</f>
        <v>465</v>
      </c>
      <c r="AI3" s="147">
        <f>AH3*50</f>
        <v>23250</v>
      </c>
      <c r="AJ3" s="51"/>
      <c r="AK3" s="149">
        <f>AJ4-AJ3</f>
        <v>0</v>
      </c>
      <c r="AL3" s="147">
        <f>AK3*50</f>
        <v>0</v>
      </c>
    </row>
    <row r="4" spans="1:38" s="55" customFormat="1" ht="38.25" customHeight="1" x14ac:dyDescent="0.2">
      <c r="A4" s="150"/>
      <c r="B4" s="46" t="s">
        <v>44</v>
      </c>
      <c r="C4" s="46">
        <v>0</v>
      </c>
      <c r="D4" s="150"/>
      <c r="E4" s="148"/>
      <c r="F4" s="47">
        <v>0</v>
      </c>
      <c r="G4" s="150"/>
      <c r="H4" s="148"/>
      <c r="I4" s="46">
        <v>353464</v>
      </c>
      <c r="J4" s="150"/>
      <c r="K4" s="148"/>
      <c r="L4" s="47">
        <v>353961</v>
      </c>
      <c r="M4" s="150"/>
      <c r="N4" s="148"/>
      <c r="O4" s="46">
        <v>354294</v>
      </c>
      <c r="P4" s="150"/>
      <c r="Q4" s="148"/>
      <c r="R4" s="46">
        <v>354458</v>
      </c>
      <c r="S4" s="150"/>
      <c r="T4" s="148"/>
      <c r="U4" s="46">
        <v>354591</v>
      </c>
      <c r="V4" s="150"/>
      <c r="W4" s="148"/>
      <c r="X4" s="47">
        <v>355082</v>
      </c>
      <c r="Y4" s="150"/>
      <c r="Z4" s="148"/>
      <c r="AA4" s="47">
        <v>355317</v>
      </c>
      <c r="AB4" s="150"/>
      <c r="AC4" s="148"/>
      <c r="AD4" s="51">
        <v>355572</v>
      </c>
      <c r="AE4" s="150"/>
      <c r="AF4" s="148"/>
      <c r="AG4" s="51">
        <v>356037</v>
      </c>
      <c r="AH4" s="150"/>
      <c r="AI4" s="148"/>
      <c r="AJ4" s="51"/>
      <c r="AK4" s="150"/>
      <c r="AL4" s="148"/>
    </row>
    <row r="5" spans="1:38" s="55" customFormat="1" ht="38.25" customHeight="1" x14ac:dyDescent="0.2">
      <c r="A5" s="154" t="s">
        <v>45</v>
      </c>
      <c r="B5" s="26" t="s">
        <v>43</v>
      </c>
      <c r="C5" s="26">
        <v>0</v>
      </c>
      <c r="D5" s="154">
        <f>C6-C5</f>
        <v>0</v>
      </c>
      <c r="E5" s="151">
        <f>D5*50</f>
        <v>0</v>
      </c>
      <c r="F5" s="26">
        <v>0</v>
      </c>
      <c r="G5" s="154">
        <f>F6-F5</f>
        <v>0</v>
      </c>
      <c r="H5" s="151">
        <f>G5*50</f>
        <v>0</v>
      </c>
      <c r="I5" s="26">
        <v>167143</v>
      </c>
      <c r="J5" s="154">
        <f>I6-I5</f>
        <v>79</v>
      </c>
      <c r="K5" s="151">
        <f>J5*50</f>
        <v>3950</v>
      </c>
      <c r="L5" s="26">
        <v>167222</v>
      </c>
      <c r="M5" s="154">
        <f>L6-L5</f>
        <v>90</v>
      </c>
      <c r="N5" s="151">
        <f>M5*50</f>
        <v>4500</v>
      </c>
      <c r="O5" s="26">
        <v>167312</v>
      </c>
      <c r="P5" s="154">
        <f>O6-O5</f>
        <v>135</v>
      </c>
      <c r="Q5" s="151">
        <f>P5*50</f>
        <v>6750</v>
      </c>
      <c r="R5" s="26">
        <v>167447</v>
      </c>
      <c r="S5" s="154">
        <f>R6-R5</f>
        <v>0</v>
      </c>
      <c r="T5" s="151">
        <f>S5*50</f>
        <v>0</v>
      </c>
      <c r="U5" s="92">
        <f>+R6</f>
        <v>167447</v>
      </c>
      <c r="V5" s="154">
        <f>U6-U5</f>
        <v>0</v>
      </c>
      <c r="W5" s="151">
        <f>V5*50</f>
        <v>0</v>
      </c>
      <c r="X5" s="26">
        <v>167447</v>
      </c>
      <c r="Y5" s="154">
        <f>X6-X5</f>
        <v>0</v>
      </c>
      <c r="Z5" s="151">
        <f>Y5*50</f>
        <v>0</v>
      </c>
      <c r="AA5" s="26">
        <v>167447</v>
      </c>
      <c r="AB5" s="154">
        <f>AA6-AA5</f>
        <v>575</v>
      </c>
      <c r="AC5" s="151">
        <f>AB5*50</f>
        <v>28750</v>
      </c>
      <c r="AD5" s="26">
        <v>168022</v>
      </c>
      <c r="AE5" s="154">
        <f>AD6-AD5</f>
        <v>96</v>
      </c>
      <c r="AF5" s="151">
        <f>AE5*50</f>
        <v>4800</v>
      </c>
      <c r="AG5" s="26">
        <v>168118</v>
      </c>
      <c r="AH5" s="154">
        <f>AG6-AG5</f>
        <v>86</v>
      </c>
      <c r="AI5" s="151">
        <f>AH5*50</f>
        <v>4300</v>
      </c>
      <c r="AJ5" s="26"/>
      <c r="AK5" s="154">
        <f>AJ6-AJ5</f>
        <v>0</v>
      </c>
      <c r="AL5" s="151">
        <f>AK5*50</f>
        <v>0</v>
      </c>
    </row>
    <row r="6" spans="1:38" s="55" customFormat="1" ht="38.25" customHeight="1" x14ac:dyDescent="0.2">
      <c r="A6" s="155"/>
      <c r="B6" s="26" t="s">
        <v>44</v>
      </c>
      <c r="C6" s="26">
        <v>0</v>
      </c>
      <c r="D6" s="155"/>
      <c r="E6" s="152"/>
      <c r="F6" s="50">
        <v>0</v>
      </c>
      <c r="G6" s="155"/>
      <c r="H6" s="152"/>
      <c r="I6" s="50">
        <v>167222</v>
      </c>
      <c r="J6" s="155"/>
      <c r="K6" s="152"/>
      <c r="L6" s="50">
        <v>167312</v>
      </c>
      <c r="M6" s="155"/>
      <c r="N6" s="152"/>
      <c r="O6" s="50">
        <v>167447</v>
      </c>
      <c r="P6" s="155"/>
      <c r="Q6" s="152"/>
      <c r="R6" s="50">
        <v>167447</v>
      </c>
      <c r="S6" s="155"/>
      <c r="T6" s="152"/>
      <c r="U6" s="92">
        <v>167447</v>
      </c>
      <c r="V6" s="155"/>
      <c r="W6" s="152"/>
      <c r="X6" s="50">
        <v>167447</v>
      </c>
      <c r="Y6" s="155"/>
      <c r="Z6" s="152"/>
      <c r="AA6" s="50">
        <v>168022</v>
      </c>
      <c r="AB6" s="155"/>
      <c r="AC6" s="152"/>
      <c r="AD6" s="50">
        <v>168118</v>
      </c>
      <c r="AE6" s="155"/>
      <c r="AF6" s="152"/>
      <c r="AG6" s="50">
        <v>168204</v>
      </c>
      <c r="AH6" s="155"/>
      <c r="AI6" s="152"/>
      <c r="AJ6" s="50"/>
      <c r="AK6" s="155"/>
      <c r="AL6" s="152"/>
    </row>
    <row r="7" spans="1:38" s="28" customFormat="1" ht="38.25" customHeight="1" x14ac:dyDescent="0.2">
      <c r="A7" s="149" t="s">
        <v>42</v>
      </c>
      <c r="B7" s="46" t="s">
        <v>43</v>
      </c>
      <c r="C7" s="46">
        <v>0</v>
      </c>
      <c r="D7" s="149">
        <f>C8-C7</f>
        <v>0</v>
      </c>
      <c r="E7" s="147">
        <f>D7*50</f>
        <v>0</v>
      </c>
      <c r="F7" s="46">
        <v>0</v>
      </c>
      <c r="G7" s="149">
        <f>F8-F7</f>
        <v>0</v>
      </c>
      <c r="H7" s="147">
        <f>G7*50</f>
        <v>0</v>
      </c>
      <c r="I7" s="46">
        <v>0</v>
      </c>
      <c r="J7" s="149">
        <f>I8-I7</f>
        <v>0</v>
      </c>
      <c r="K7" s="147">
        <f>J7*50</f>
        <v>0</v>
      </c>
      <c r="L7" s="46">
        <v>782906</v>
      </c>
      <c r="M7" s="149">
        <f>L8-L7</f>
        <v>5904</v>
      </c>
      <c r="N7" s="147">
        <f>M7*50</f>
        <v>295200</v>
      </c>
      <c r="O7" s="46">
        <v>788810</v>
      </c>
      <c r="P7" s="149">
        <f>O8-O7</f>
        <v>289</v>
      </c>
      <c r="Q7" s="147">
        <f>P7*50</f>
        <v>14450</v>
      </c>
      <c r="R7" s="46">
        <v>789099</v>
      </c>
      <c r="S7" s="149">
        <f>R8-R7</f>
        <v>302</v>
      </c>
      <c r="T7" s="147">
        <f>S7*50</f>
        <v>15100</v>
      </c>
      <c r="U7" s="46">
        <f>+R8</f>
        <v>789401</v>
      </c>
      <c r="V7" s="149">
        <f>U8-U7</f>
        <v>338</v>
      </c>
      <c r="W7" s="147">
        <f>V7*50</f>
        <v>16900</v>
      </c>
      <c r="X7" s="46">
        <v>789739</v>
      </c>
      <c r="Y7" s="149">
        <f>X8-X7</f>
        <v>858</v>
      </c>
      <c r="Z7" s="147">
        <f>Y7*50</f>
        <v>42900</v>
      </c>
      <c r="AA7" s="46">
        <v>790597</v>
      </c>
      <c r="AB7" s="149">
        <f>AA8-AA7</f>
        <v>478</v>
      </c>
      <c r="AC7" s="147">
        <f>AB7*50</f>
        <v>23900</v>
      </c>
      <c r="AD7" s="46">
        <v>791075</v>
      </c>
      <c r="AE7" s="149">
        <f>AD8-AD7</f>
        <v>367</v>
      </c>
      <c r="AF7" s="147">
        <f>AE7*50</f>
        <v>18350</v>
      </c>
      <c r="AG7" s="46">
        <v>791442</v>
      </c>
      <c r="AH7" s="149">
        <f>AG8-AG7</f>
        <v>481</v>
      </c>
      <c r="AI7" s="147">
        <f>AH7*50</f>
        <v>24050</v>
      </c>
      <c r="AJ7" s="46"/>
      <c r="AK7" s="149">
        <f>AJ8-AJ7</f>
        <v>0</v>
      </c>
      <c r="AL7" s="147">
        <f>+AK7*56</f>
        <v>0</v>
      </c>
    </row>
    <row r="8" spans="1:38" s="28" customFormat="1" ht="38.25" customHeight="1" x14ac:dyDescent="0.2">
      <c r="A8" s="150"/>
      <c r="B8" s="46" t="s">
        <v>44</v>
      </c>
      <c r="C8" s="46">
        <v>0</v>
      </c>
      <c r="D8" s="150"/>
      <c r="E8" s="148"/>
      <c r="F8" s="46">
        <v>0</v>
      </c>
      <c r="G8" s="150"/>
      <c r="H8" s="148"/>
      <c r="I8" s="46">
        <v>0</v>
      </c>
      <c r="J8" s="150"/>
      <c r="K8" s="148"/>
      <c r="L8" s="46">
        <v>788810</v>
      </c>
      <c r="M8" s="150"/>
      <c r="N8" s="148"/>
      <c r="O8" s="46">
        <v>789099</v>
      </c>
      <c r="P8" s="150"/>
      <c r="Q8" s="148"/>
      <c r="R8" s="46">
        <v>789401</v>
      </c>
      <c r="S8" s="150"/>
      <c r="T8" s="148"/>
      <c r="U8" s="90">
        <v>789739</v>
      </c>
      <c r="V8" s="150"/>
      <c r="W8" s="148"/>
      <c r="X8" s="46">
        <v>790597</v>
      </c>
      <c r="Y8" s="150"/>
      <c r="Z8" s="148"/>
      <c r="AA8" s="46">
        <v>791075</v>
      </c>
      <c r="AB8" s="150"/>
      <c r="AC8" s="148"/>
      <c r="AD8" s="46">
        <v>791442</v>
      </c>
      <c r="AE8" s="150"/>
      <c r="AF8" s="148"/>
      <c r="AG8" s="46">
        <v>791923</v>
      </c>
      <c r="AH8" s="150"/>
      <c r="AI8" s="148"/>
      <c r="AJ8" s="46"/>
      <c r="AK8" s="150"/>
      <c r="AL8" s="148"/>
    </row>
    <row r="9" spans="1:38" s="28" customFormat="1" ht="38.25" customHeight="1" x14ac:dyDescent="0.2">
      <c r="A9" s="154" t="s">
        <v>46</v>
      </c>
      <c r="B9" s="26" t="s">
        <v>72</v>
      </c>
      <c r="C9" s="26" t="s">
        <v>67</v>
      </c>
      <c r="D9" s="53">
        <v>310</v>
      </c>
      <c r="E9" s="49">
        <f>D9*50</f>
        <v>15500</v>
      </c>
      <c r="F9" s="26" t="str">
        <f>C9</f>
        <v>N/A</v>
      </c>
      <c r="G9" s="53">
        <f>14+15+20+14+2+11+3+30+2</f>
        <v>111</v>
      </c>
      <c r="H9" s="49">
        <f>G9*50</f>
        <v>5550</v>
      </c>
      <c r="I9" s="26" t="str">
        <f>C9</f>
        <v>N/A</v>
      </c>
      <c r="J9" s="53">
        <f>11+16+70+28+22+18+29+13+2+8+4+6+45+16+17+43+4+10+8+13+43+24+7+49+21+44+7+5+4+1+7</f>
        <v>595</v>
      </c>
      <c r="K9" s="49">
        <f>J9*50</f>
        <v>29750</v>
      </c>
      <c r="L9" s="26" t="str">
        <f>I9</f>
        <v>N/A</v>
      </c>
      <c r="M9" s="53">
        <v>720</v>
      </c>
      <c r="N9" s="49">
        <f>M9*50</f>
        <v>36000</v>
      </c>
      <c r="O9" s="26" t="str">
        <f>L9</f>
        <v>N/A</v>
      </c>
      <c r="P9" s="53">
        <v>84</v>
      </c>
      <c r="Q9" s="49">
        <f>P9*50</f>
        <v>4200</v>
      </c>
      <c r="R9" s="26" t="str">
        <f>O9</f>
        <v>N/A</v>
      </c>
      <c r="S9" s="53">
        <v>0</v>
      </c>
      <c r="T9" s="49">
        <f>S9*50</f>
        <v>0</v>
      </c>
      <c r="U9" s="26" t="str">
        <f>R9</f>
        <v>N/A</v>
      </c>
      <c r="V9" s="53">
        <v>0</v>
      </c>
      <c r="W9" s="49">
        <f>V9*50</f>
        <v>0</v>
      </c>
      <c r="X9" s="26" t="str">
        <f>U9</f>
        <v>N/A</v>
      </c>
      <c r="Y9" s="53">
        <v>0</v>
      </c>
      <c r="Z9" s="49">
        <f>Y9*50</f>
        <v>0</v>
      </c>
      <c r="AA9" s="26" t="str">
        <f>X9</f>
        <v>N/A</v>
      </c>
      <c r="AB9" s="53">
        <v>0</v>
      </c>
      <c r="AC9" s="49">
        <f>AB9*50</f>
        <v>0</v>
      </c>
      <c r="AD9" s="26" t="str">
        <f>AA9</f>
        <v>N/A</v>
      </c>
      <c r="AE9" s="53">
        <v>0</v>
      </c>
      <c r="AF9" s="49">
        <f>AE9*50</f>
        <v>0</v>
      </c>
      <c r="AG9" s="26" t="str">
        <f>AD9</f>
        <v>N/A</v>
      </c>
      <c r="AH9" s="53">
        <v>0</v>
      </c>
      <c r="AI9" s="49">
        <f>AH9*50</f>
        <v>0</v>
      </c>
      <c r="AJ9" s="26" t="str">
        <f>AG9</f>
        <v>N/A</v>
      </c>
      <c r="AK9" s="53">
        <v>0</v>
      </c>
      <c r="AL9" s="49">
        <f>AK9*50</f>
        <v>0</v>
      </c>
    </row>
    <row r="10" spans="1:38" s="28" customFormat="1" ht="38.25" customHeight="1" x14ac:dyDescent="0.2">
      <c r="A10" s="156"/>
      <c r="B10" s="26" t="s">
        <v>43</v>
      </c>
      <c r="C10" s="26">
        <v>0</v>
      </c>
      <c r="D10" s="154">
        <f>C11-C10</f>
        <v>0</v>
      </c>
      <c r="E10" s="151">
        <f>D10*50</f>
        <v>0</v>
      </c>
      <c r="F10" s="26">
        <v>0</v>
      </c>
      <c r="G10" s="154">
        <f>F11-F10</f>
        <v>0</v>
      </c>
      <c r="H10" s="151">
        <f>G10*50</f>
        <v>0</v>
      </c>
      <c r="I10" s="26">
        <v>0</v>
      </c>
      <c r="J10" s="154">
        <f>I11-I10</f>
        <v>0</v>
      </c>
      <c r="K10" s="151">
        <f>J10*50</f>
        <v>0</v>
      </c>
      <c r="L10" s="26">
        <v>0</v>
      </c>
      <c r="M10" s="154">
        <f>L11-L10</f>
        <v>0</v>
      </c>
      <c r="N10" s="151">
        <f>M10*50</f>
        <v>0</v>
      </c>
      <c r="O10" s="26">
        <v>113447</v>
      </c>
      <c r="P10" s="154">
        <f>O11-O10</f>
        <v>542</v>
      </c>
      <c r="Q10" s="151">
        <f>P10*50</f>
        <v>27100</v>
      </c>
      <c r="R10" s="26">
        <v>113989</v>
      </c>
      <c r="S10" s="154">
        <f>R11-R10</f>
        <v>665</v>
      </c>
      <c r="T10" s="151">
        <f>S10*50</f>
        <v>33250</v>
      </c>
      <c r="U10" s="92">
        <v>114654</v>
      </c>
      <c r="V10" s="154">
        <f>U11-U10</f>
        <v>924</v>
      </c>
      <c r="W10" s="151">
        <f>V10*50</f>
        <v>46200</v>
      </c>
      <c r="X10" s="26">
        <v>115578</v>
      </c>
      <c r="Y10" s="154">
        <f>X11-X10</f>
        <v>1108</v>
      </c>
      <c r="Z10" s="151">
        <f>Y10*50</f>
        <v>55400</v>
      </c>
      <c r="AA10" s="26">
        <v>116686</v>
      </c>
      <c r="AB10" s="154">
        <f>AA11-AA10</f>
        <v>1192</v>
      </c>
      <c r="AC10" s="151">
        <f>AB10*50</f>
        <v>59600</v>
      </c>
      <c r="AD10" s="26">
        <v>117878</v>
      </c>
      <c r="AE10" s="154">
        <f>AD11-AD10</f>
        <v>890</v>
      </c>
      <c r="AF10" s="151">
        <f>AE10*50</f>
        <v>44500</v>
      </c>
      <c r="AG10" s="26">
        <v>118768</v>
      </c>
      <c r="AH10" s="154">
        <f>AG11-AG10</f>
        <v>1293</v>
      </c>
      <c r="AI10" s="151">
        <f>AH10*50</f>
        <v>64650</v>
      </c>
      <c r="AJ10" s="26"/>
      <c r="AK10" s="154"/>
      <c r="AL10" s="151"/>
    </row>
    <row r="11" spans="1:38" s="28" customFormat="1" ht="38.25" customHeight="1" x14ac:dyDescent="0.2">
      <c r="A11" s="155"/>
      <c r="B11" s="26" t="s">
        <v>44</v>
      </c>
      <c r="C11" s="26">
        <v>0</v>
      </c>
      <c r="D11" s="155"/>
      <c r="E11" s="152"/>
      <c r="F11" s="50">
        <v>0</v>
      </c>
      <c r="G11" s="155"/>
      <c r="H11" s="152"/>
      <c r="I11" s="50">
        <v>0</v>
      </c>
      <c r="J11" s="155"/>
      <c r="K11" s="152"/>
      <c r="L11" s="50">
        <v>0</v>
      </c>
      <c r="M11" s="155"/>
      <c r="N11" s="152"/>
      <c r="O11" s="50">
        <v>113989</v>
      </c>
      <c r="P11" s="155"/>
      <c r="Q11" s="152"/>
      <c r="R11" s="50">
        <v>114654</v>
      </c>
      <c r="S11" s="155"/>
      <c r="T11" s="152"/>
      <c r="U11" s="92">
        <v>115578</v>
      </c>
      <c r="V11" s="155"/>
      <c r="W11" s="152"/>
      <c r="X11" s="50">
        <v>116686</v>
      </c>
      <c r="Y11" s="155"/>
      <c r="Z11" s="152"/>
      <c r="AA11" s="50">
        <v>117878</v>
      </c>
      <c r="AB11" s="155"/>
      <c r="AC11" s="152"/>
      <c r="AD11" s="50">
        <v>118768</v>
      </c>
      <c r="AE11" s="155"/>
      <c r="AF11" s="152"/>
      <c r="AG11" s="50">
        <v>120061</v>
      </c>
      <c r="AH11" s="155"/>
      <c r="AI11" s="152"/>
      <c r="AJ11" s="50"/>
      <c r="AK11" s="155"/>
      <c r="AL11" s="152"/>
    </row>
    <row r="12" spans="1:38" s="28" customFormat="1" ht="38.25" customHeight="1" x14ac:dyDescent="0.2">
      <c r="A12" s="46" t="s">
        <v>41</v>
      </c>
      <c r="B12" s="47" t="s">
        <v>66</v>
      </c>
      <c r="C12" s="46" t="s">
        <v>67</v>
      </c>
      <c r="D12" s="54">
        <v>13</v>
      </c>
      <c r="E12" s="48">
        <f>D12*50</f>
        <v>650</v>
      </c>
      <c r="F12" s="46" t="str">
        <f>C12</f>
        <v>N/A</v>
      </c>
      <c r="G12" s="54">
        <f>15+7+34+6+27</f>
        <v>89</v>
      </c>
      <c r="H12" s="48">
        <f>G12*50</f>
        <v>4450</v>
      </c>
      <c r="I12" s="46" t="str">
        <f>C12</f>
        <v>N/A</v>
      </c>
      <c r="J12" s="54">
        <v>10</v>
      </c>
      <c r="K12" s="48">
        <f>J12*50</f>
        <v>500</v>
      </c>
      <c r="L12" s="46" t="str">
        <f>I12</f>
        <v>N/A</v>
      </c>
      <c r="M12" s="54">
        <v>335</v>
      </c>
      <c r="N12" s="48">
        <f>M12*50</f>
        <v>16750</v>
      </c>
      <c r="O12" s="46" t="str">
        <f>L12</f>
        <v>N/A</v>
      </c>
      <c r="P12" s="54">
        <v>0</v>
      </c>
      <c r="Q12" s="48">
        <f>P12*50</f>
        <v>0</v>
      </c>
      <c r="R12" s="46" t="str">
        <f>O12</f>
        <v>N/A</v>
      </c>
      <c r="S12" s="54">
        <v>321</v>
      </c>
      <c r="T12" s="48">
        <f>S12*50</f>
        <v>16050</v>
      </c>
      <c r="U12" s="46" t="str">
        <f>R12</f>
        <v>N/A</v>
      </c>
      <c r="V12" s="54">
        <v>0</v>
      </c>
      <c r="W12" s="48">
        <f>V12*50</f>
        <v>0</v>
      </c>
      <c r="X12" s="46" t="str">
        <f>U12</f>
        <v>N/A</v>
      </c>
      <c r="Y12" s="54">
        <v>0</v>
      </c>
      <c r="Z12" s="48">
        <f>Y12*50</f>
        <v>0</v>
      </c>
      <c r="AA12" s="46" t="str">
        <f>X12</f>
        <v>N/A</v>
      </c>
      <c r="AB12" s="54">
        <v>0</v>
      </c>
      <c r="AC12" s="48">
        <f>AB12*50</f>
        <v>0</v>
      </c>
      <c r="AD12" s="46" t="str">
        <f>AA12</f>
        <v>N/A</v>
      </c>
      <c r="AE12" s="54">
        <v>0</v>
      </c>
      <c r="AF12" s="48">
        <f>AE12*50</f>
        <v>0</v>
      </c>
      <c r="AG12" s="46" t="str">
        <f>AD12</f>
        <v>N/A</v>
      </c>
      <c r="AH12" s="54">
        <v>0</v>
      </c>
      <c r="AI12" s="48">
        <f>AH12*50</f>
        <v>0</v>
      </c>
      <c r="AJ12" s="46" t="str">
        <f>AG12</f>
        <v>N/A</v>
      </c>
      <c r="AK12" s="54"/>
      <c r="AL12" s="48">
        <f>AK12*50</f>
        <v>0</v>
      </c>
    </row>
    <row r="13" spans="1:38" s="28" customFormat="1" ht="38.25" customHeight="1" x14ac:dyDescent="0.2">
      <c r="A13" s="50" t="s">
        <v>69</v>
      </c>
      <c r="B13" s="26" t="s">
        <v>70</v>
      </c>
      <c r="C13" s="26" t="s">
        <v>67</v>
      </c>
      <c r="D13" s="53">
        <v>477</v>
      </c>
      <c r="E13" s="49">
        <f>D13*50</f>
        <v>23850</v>
      </c>
      <c r="F13" s="26" t="str">
        <f>C13</f>
        <v>N/A</v>
      </c>
      <c r="G13" s="53">
        <f>37+15+55+20+6+31+26+10+7+45+4+2+3+46+6+9+11</f>
        <v>333</v>
      </c>
      <c r="H13" s="49">
        <f>G13*50</f>
        <v>16650</v>
      </c>
      <c r="I13" s="26" t="str">
        <f>C13</f>
        <v>N/A</v>
      </c>
      <c r="J13" s="53">
        <f>37+19+42+48+23+19+2+10+14+14+9+40+13+22+36+11</f>
        <v>359</v>
      </c>
      <c r="K13" s="49">
        <f>J13*50</f>
        <v>17950</v>
      </c>
      <c r="L13" s="26" t="str">
        <f>I13</f>
        <v>N/A</v>
      </c>
      <c r="M13" s="53">
        <v>974</v>
      </c>
      <c r="N13" s="49">
        <f>M13*50</f>
        <v>48700</v>
      </c>
      <c r="O13" s="26" t="str">
        <f>L13</f>
        <v>N/A</v>
      </c>
      <c r="P13" s="53">
        <v>830</v>
      </c>
      <c r="Q13" s="49">
        <f>P13*50</f>
        <v>41500</v>
      </c>
      <c r="R13" s="26" t="str">
        <f>O13</f>
        <v>N/A</v>
      </c>
      <c r="S13" s="53">
        <v>1008</v>
      </c>
      <c r="T13" s="49">
        <f>S13*50</f>
        <v>50400</v>
      </c>
      <c r="U13" s="26" t="str">
        <f>R13</f>
        <v>N/A</v>
      </c>
      <c r="V13" s="53">
        <v>285</v>
      </c>
      <c r="W13" s="49">
        <f>V13*50</f>
        <v>14250</v>
      </c>
      <c r="X13" s="26" t="str">
        <f>U13</f>
        <v>N/A</v>
      </c>
      <c r="Y13" s="53">
        <f>47+11+70+21+96+28+4+8+35+43+28+12+47</f>
        <v>450</v>
      </c>
      <c r="Z13" s="49">
        <f>Y13*50</f>
        <v>22500</v>
      </c>
      <c r="AA13" s="26" t="str">
        <f>X13</f>
        <v>N/A</v>
      </c>
      <c r="AB13" s="53">
        <f>14+20+52+49+35+2</f>
        <v>172</v>
      </c>
      <c r="AC13" s="49">
        <f>AB13*50</f>
        <v>8600</v>
      </c>
      <c r="AD13" s="26" t="str">
        <f>AA13</f>
        <v>N/A</v>
      </c>
      <c r="AE13" s="53">
        <f>271+219+18+31+255</f>
        <v>794</v>
      </c>
      <c r="AF13" s="49">
        <f>AE13*50</f>
        <v>39700</v>
      </c>
      <c r="AG13" s="26" t="str">
        <f>AD13</f>
        <v>N/A</v>
      </c>
      <c r="AH13" s="53">
        <f>249+196+50+24+27+18+30+6+2+7+7+22+246+2+61+101+32+16+16+30+147+44+259+158+11</f>
        <v>1761</v>
      </c>
      <c r="AI13" s="49">
        <f>AH13*50</f>
        <v>88050</v>
      </c>
      <c r="AJ13" s="26" t="str">
        <f>AG13</f>
        <v>N/A</v>
      </c>
      <c r="AK13" s="53"/>
      <c r="AL13" s="49">
        <f>AK13*50</f>
        <v>0</v>
      </c>
    </row>
    <row r="14" spans="1:38" s="28" customFormat="1" ht="38.25" customHeight="1" x14ac:dyDescent="0.2">
      <c r="A14" s="149" t="s">
        <v>48</v>
      </c>
      <c r="B14" s="46" t="s">
        <v>68</v>
      </c>
      <c r="C14" s="46" t="s">
        <v>67</v>
      </c>
      <c r="D14" s="54">
        <f>24+4+9+4+18</f>
        <v>59</v>
      </c>
      <c r="E14" s="48">
        <f>D14*50</f>
        <v>2950</v>
      </c>
      <c r="F14" s="46" t="str">
        <f>C14</f>
        <v>N/A</v>
      </c>
      <c r="G14" s="54">
        <f>10+6+5+15+4+16+124+6+2+7+152+22+6+6+10</f>
        <v>391</v>
      </c>
      <c r="H14" s="48">
        <f>G14*50</f>
        <v>19550</v>
      </c>
      <c r="I14" s="46" t="str">
        <f>C14</f>
        <v>N/A</v>
      </c>
      <c r="J14" s="54">
        <f>10+8+6</f>
        <v>24</v>
      </c>
      <c r="K14" s="48">
        <f>J14*50</f>
        <v>1200</v>
      </c>
      <c r="L14" s="46" t="str">
        <f>I14</f>
        <v>N/A</v>
      </c>
      <c r="M14" s="54">
        <v>395</v>
      </c>
      <c r="N14" s="48">
        <f>M14*50</f>
        <v>19750</v>
      </c>
      <c r="O14" s="46" t="str">
        <f>L14</f>
        <v>N/A</v>
      </c>
      <c r="P14" s="54">
        <v>201</v>
      </c>
      <c r="Q14" s="48">
        <f>P14*50</f>
        <v>10050</v>
      </c>
      <c r="R14" s="46" t="str">
        <f>O14</f>
        <v>N/A</v>
      </c>
      <c r="S14" s="54">
        <v>0</v>
      </c>
      <c r="T14" s="48">
        <f>S14*50</f>
        <v>0</v>
      </c>
      <c r="U14" s="46" t="str">
        <f>R14</f>
        <v>N/A</v>
      </c>
      <c r="V14" s="54">
        <v>0</v>
      </c>
      <c r="W14" s="48">
        <f>V14*50</f>
        <v>0</v>
      </c>
      <c r="X14" s="46" t="str">
        <f>U14</f>
        <v>N/A</v>
      </c>
      <c r="Y14" s="54">
        <v>0</v>
      </c>
      <c r="Z14" s="48">
        <f>Y14*50</f>
        <v>0</v>
      </c>
      <c r="AA14" s="46" t="str">
        <f>X14</f>
        <v>N/A</v>
      </c>
      <c r="AB14" s="54">
        <v>0</v>
      </c>
      <c r="AC14" s="48">
        <f>AB14*50</f>
        <v>0</v>
      </c>
      <c r="AD14" s="46" t="str">
        <f>AA14</f>
        <v>N/A</v>
      </c>
      <c r="AE14" s="54">
        <v>0</v>
      </c>
      <c r="AF14" s="48">
        <f>AE14*50</f>
        <v>0</v>
      </c>
      <c r="AG14" s="46" t="str">
        <f>AD14</f>
        <v>N/A</v>
      </c>
      <c r="AH14" s="54">
        <v>0</v>
      </c>
      <c r="AI14" s="48">
        <f>AH14*50</f>
        <v>0</v>
      </c>
      <c r="AJ14" s="46" t="str">
        <f>AG14</f>
        <v>N/A</v>
      </c>
      <c r="AK14" s="54">
        <v>0</v>
      </c>
      <c r="AL14" s="48">
        <f>AK14*50</f>
        <v>0</v>
      </c>
    </row>
    <row r="15" spans="1:38" s="28" customFormat="1" ht="38.25" customHeight="1" x14ac:dyDescent="0.2">
      <c r="A15" s="153"/>
      <c r="B15" s="46" t="s">
        <v>43</v>
      </c>
      <c r="C15" s="46">
        <v>0</v>
      </c>
      <c r="D15" s="149">
        <f>C16-C15</f>
        <v>0</v>
      </c>
      <c r="E15" s="147">
        <f>D15*50</f>
        <v>0</v>
      </c>
      <c r="F15" s="46">
        <v>0</v>
      </c>
      <c r="G15" s="149">
        <f>F16-F15</f>
        <v>0</v>
      </c>
      <c r="H15" s="147">
        <f>G15*50</f>
        <v>0</v>
      </c>
      <c r="I15" s="46">
        <v>0</v>
      </c>
      <c r="J15" s="149">
        <f>I16-I15</f>
        <v>0</v>
      </c>
      <c r="K15" s="147">
        <f>J15*50</f>
        <v>0</v>
      </c>
      <c r="L15" s="46">
        <v>0</v>
      </c>
      <c r="M15" s="149">
        <f>L16-L15</f>
        <v>0</v>
      </c>
      <c r="N15" s="147">
        <f>M15*50</f>
        <v>0</v>
      </c>
      <c r="O15" s="46">
        <v>796719</v>
      </c>
      <c r="P15" s="149">
        <f>O16-O15</f>
        <v>315</v>
      </c>
      <c r="Q15" s="147">
        <f>P15*50</f>
        <v>15750</v>
      </c>
      <c r="R15" s="46">
        <v>797034</v>
      </c>
      <c r="S15" s="149">
        <f>R16-R15</f>
        <v>440</v>
      </c>
      <c r="T15" s="147">
        <f>S15*50</f>
        <v>22000</v>
      </c>
      <c r="U15" s="46">
        <f>+R16</f>
        <v>797474</v>
      </c>
      <c r="V15" s="149">
        <f>U16-U15</f>
        <v>652</v>
      </c>
      <c r="W15" s="147">
        <f>V15*50</f>
        <v>32600</v>
      </c>
      <c r="X15" s="46">
        <v>798126</v>
      </c>
      <c r="Y15" s="149">
        <f>X16-X15</f>
        <v>651</v>
      </c>
      <c r="Z15" s="147">
        <f>Y15*50</f>
        <v>32550</v>
      </c>
      <c r="AA15" s="46">
        <v>798777</v>
      </c>
      <c r="AB15" s="149">
        <f>AA16-AA15</f>
        <v>126</v>
      </c>
      <c r="AC15" s="147">
        <f>AB15*50</f>
        <v>6300</v>
      </c>
      <c r="AD15" s="46">
        <v>798903</v>
      </c>
      <c r="AE15" s="149">
        <f>AD16-AD15</f>
        <v>123</v>
      </c>
      <c r="AF15" s="147">
        <f>AE15*50</f>
        <v>6150</v>
      </c>
      <c r="AG15" s="46">
        <v>799026</v>
      </c>
      <c r="AH15" s="149">
        <f>AG16-AG15</f>
        <v>194</v>
      </c>
      <c r="AI15" s="147">
        <f>AH15*50</f>
        <v>9700</v>
      </c>
      <c r="AJ15" s="46"/>
      <c r="AK15" s="149">
        <f>AJ16-AJ15</f>
        <v>0</v>
      </c>
      <c r="AL15" s="147">
        <f>+AK15*56</f>
        <v>0</v>
      </c>
    </row>
    <row r="16" spans="1:38" s="28" customFormat="1" ht="38.25" customHeight="1" x14ac:dyDescent="0.2">
      <c r="A16" s="150"/>
      <c r="B16" s="46" t="s">
        <v>44</v>
      </c>
      <c r="C16" s="46">
        <v>0</v>
      </c>
      <c r="D16" s="150"/>
      <c r="E16" s="148"/>
      <c r="F16" s="46">
        <v>0</v>
      </c>
      <c r="G16" s="150"/>
      <c r="H16" s="148"/>
      <c r="I16" s="46">
        <v>0</v>
      </c>
      <c r="J16" s="150"/>
      <c r="K16" s="148"/>
      <c r="L16" s="46">
        <v>0</v>
      </c>
      <c r="M16" s="150"/>
      <c r="N16" s="148"/>
      <c r="O16" s="46">
        <v>797034</v>
      </c>
      <c r="P16" s="150"/>
      <c r="Q16" s="148"/>
      <c r="R16" s="46">
        <v>797474</v>
      </c>
      <c r="S16" s="150"/>
      <c r="T16" s="148"/>
      <c r="U16" s="90">
        <v>798126</v>
      </c>
      <c r="V16" s="150"/>
      <c r="W16" s="148"/>
      <c r="X16" s="46">
        <v>798777</v>
      </c>
      <c r="Y16" s="150"/>
      <c r="Z16" s="148"/>
      <c r="AA16" s="46">
        <v>798903</v>
      </c>
      <c r="AB16" s="150"/>
      <c r="AC16" s="148"/>
      <c r="AD16" s="46">
        <v>799026</v>
      </c>
      <c r="AE16" s="150"/>
      <c r="AF16" s="148"/>
      <c r="AG16" s="46">
        <v>799220</v>
      </c>
      <c r="AH16" s="150"/>
      <c r="AI16" s="148"/>
      <c r="AJ16" s="46"/>
      <c r="AK16" s="150"/>
      <c r="AL16" s="148"/>
    </row>
    <row r="17" spans="1:38" s="28" customFormat="1" ht="38.25" customHeight="1" x14ac:dyDescent="0.2">
      <c r="A17" s="154" t="s">
        <v>73</v>
      </c>
      <c r="B17" s="26" t="s">
        <v>74</v>
      </c>
      <c r="C17" s="26" t="s">
        <v>67</v>
      </c>
      <c r="D17" s="53">
        <f>50+60+36+10+92+171+6+291+21+65+88+139+104+475+8</f>
        <v>1616</v>
      </c>
      <c r="E17" s="49">
        <f>D17*50</f>
        <v>80800</v>
      </c>
      <c r="F17" s="26" t="str">
        <f>C17</f>
        <v>N/A</v>
      </c>
      <c r="G17" s="53">
        <f>50+28+18+34+41+33+73+78+49+47+36+12+100+6+35+78+50+80+226</f>
        <v>1074</v>
      </c>
      <c r="H17" s="49">
        <f>G17*50</f>
        <v>53700</v>
      </c>
      <c r="I17" s="26" t="str">
        <f>C17</f>
        <v>N/A</v>
      </c>
      <c r="J17" s="53">
        <v>1522</v>
      </c>
      <c r="K17" s="49">
        <f>J17*50</f>
        <v>76100</v>
      </c>
      <c r="L17" s="26" t="str">
        <f>I17</f>
        <v>N/A</v>
      </c>
      <c r="M17" s="53">
        <v>2324</v>
      </c>
      <c r="N17" s="49">
        <f>M17*50</f>
        <v>116200</v>
      </c>
      <c r="O17" s="26" t="str">
        <f>L17</f>
        <v>N/A</v>
      </c>
      <c r="P17" s="53">
        <v>1646</v>
      </c>
      <c r="Q17" s="49">
        <f>P17*50</f>
        <v>82300</v>
      </c>
      <c r="R17" s="26" t="str">
        <f>O17</f>
        <v>N/A</v>
      </c>
      <c r="S17" s="53">
        <v>2253</v>
      </c>
      <c r="T17" s="49">
        <f>S17*50</f>
        <v>112650</v>
      </c>
      <c r="U17" s="26" t="str">
        <f>R17</f>
        <v>N/A</v>
      </c>
      <c r="V17" s="53">
        <v>0</v>
      </c>
      <c r="W17" s="49">
        <f>V17*50</f>
        <v>0</v>
      </c>
      <c r="X17" s="26" t="str">
        <f>U17</f>
        <v>N/A</v>
      </c>
      <c r="Y17" s="53">
        <v>0</v>
      </c>
      <c r="Z17" s="49">
        <f>Y17*50</f>
        <v>0</v>
      </c>
      <c r="AA17" s="26" t="str">
        <f>X17</f>
        <v>N/A</v>
      </c>
      <c r="AB17" s="53">
        <v>0</v>
      </c>
      <c r="AC17" s="49">
        <f>AB17*50</f>
        <v>0</v>
      </c>
      <c r="AD17" s="26" t="str">
        <f>AA17</f>
        <v>N/A</v>
      </c>
      <c r="AE17" s="53"/>
      <c r="AF17" s="49">
        <f>AE17*50</f>
        <v>0</v>
      </c>
      <c r="AG17" s="26" t="str">
        <f>AD17</f>
        <v>N/A</v>
      </c>
      <c r="AH17" s="53"/>
      <c r="AI17" s="49">
        <f>AH17*50</f>
        <v>0</v>
      </c>
      <c r="AJ17" s="26" t="str">
        <f>AG17</f>
        <v>N/A</v>
      </c>
      <c r="AK17" s="53"/>
      <c r="AL17" s="49">
        <f>AK17*50</f>
        <v>0</v>
      </c>
    </row>
    <row r="18" spans="1:38" s="28" customFormat="1" ht="38.25" customHeight="1" x14ac:dyDescent="0.2">
      <c r="A18" s="156"/>
      <c r="B18" s="26" t="s">
        <v>43</v>
      </c>
      <c r="C18" s="26">
        <v>0</v>
      </c>
      <c r="D18" s="154">
        <f>C19-C18</f>
        <v>0</v>
      </c>
      <c r="E18" s="151">
        <f>D18*50</f>
        <v>0</v>
      </c>
      <c r="F18" s="26">
        <v>0</v>
      </c>
      <c r="G18" s="154">
        <f>F19-F18</f>
        <v>0</v>
      </c>
      <c r="H18" s="151">
        <f>G18*50</f>
        <v>0</v>
      </c>
      <c r="I18" s="26">
        <v>0</v>
      </c>
      <c r="J18" s="154">
        <f>I19-I18</f>
        <v>0</v>
      </c>
      <c r="K18" s="151">
        <f>J18*50</f>
        <v>0</v>
      </c>
      <c r="L18" s="26">
        <v>0</v>
      </c>
      <c r="M18" s="154">
        <f>L19-L18</f>
        <v>0</v>
      </c>
      <c r="N18" s="151">
        <f>M18*50</f>
        <v>0</v>
      </c>
      <c r="O18" s="26">
        <v>0</v>
      </c>
      <c r="P18" s="154">
        <f>O19-O18</f>
        <v>0</v>
      </c>
      <c r="Q18" s="151">
        <f>P18*50</f>
        <v>0</v>
      </c>
      <c r="R18" s="26">
        <v>440805</v>
      </c>
      <c r="S18" s="154">
        <f t="shared" ref="S18" si="0">R19-R18</f>
        <v>1359</v>
      </c>
      <c r="T18" s="151">
        <f t="shared" ref="T18" si="1">S18*50</f>
        <v>67950</v>
      </c>
      <c r="U18" s="26">
        <v>442164</v>
      </c>
      <c r="V18" s="154">
        <f t="shared" ref="V18" si="2">U19-U18</f>
        <v>1209</v>
      </c>
      <c r="W18" s="151">
        <f t="shared" ref="W18" si="3">V18*50</f>
        <v>60450</v>
      </c>
      <c r="X18" s="26">
        <v>443373</v>
      </c>
      <c r="Y18" s="154">
        <f t="shared" ref="Y18" si="4">X19-X18</f>
        <v>654</v>
      </c>
      <c r="Z18" s="151">
        <f t="shared" ref="Z18" si="5">Y18*50</f>
        <v>32700</v>
      </c>
      <c r="AA18" s="26">
        <v>0</v>
      </c>
      <c r="AB18" s="154">
        <f t="shared" ref="AB18" si="6">AA19-AA18</f>
        <v>0</v>
      </c>
      <c r="AC18" s="151">
        <f t="shared" ref="AC18" si="7">AB18*50</f>
        <v>0</v>
      </c>
      <c r="AD18" s="108">
        <v>444027</v>
      </c>
      <c r="AE18" s="154">
        <f t="shared" ref="AE18" si="8">AD19-AD18</f>
        <v>1951</v>
      </c>
      <c r="AF18" s="151">
        <f t="shared" ref="AF18" si="9">AE18*50</f>
        <v>97550</v>
      </c>
      <c r="AG18" s="26">
        <v>445978</v>
      </c>
      <c r="AH18" s="154">
        <f t="shared" ref="AH18" si="10">AG19-AG18</f>
        <v>153</v>
      </c>
      <c r="AI18" s="151">
        <f t="shared" ref="AI18" si="11">AH18*50</f>
        <v>7650</v>
      </c>
      <c r="AJ18" s="26">
        <v>0</v>
      </c>
      <c r="AK18" s="154">
        <f t="shared" ref="AK18" si="12">AJ19-AJ18</f>
        <v>0</v>
      </c>
      <c r="AL18" s="151">
        <f t="shared" ref="AL18" si="13">AK18*50</f>
        <v>0</v>
      </c>
    </row>
    <row r="19" spans="1:38" s="28" customFormat="1" ht="38.25" customHeight="1" x14ac:dyDescent="0.2">
      <c r="A19" s="155"/>
      <c r="B19" s="26" t="s">
        <v>44</v>
      </c>
      <c r="C19" s="26">
        <v>0</v>
      </c>
      <c r="D19" s="155"/>
      <c r="E19" s="152"/>
      <c r="F19" s="91">
        <v>0</v>
      </c>
      <c r="G19" s="155"/>
      <c r="H19" s="152"/>
      <c r="I19" s="91">
        <v>0</v>
      </c>
      <c r="J19" s="155"/>
      <c r="K19" s="152"/>
      <c r="L19" s="91">
        <v>0</v>
      </c>
      <c r="M19" s="155"/>
      <c r="N19" s="152"/>
      <c r="O19" s="91">
        <v>0</v>
      </c>
      <c r="P19" s="155"/>
      <c r="Q19" s="152"/>
      <c r="R19" s="91">
        <v>442164</v>
      </c>
      <c r="S19" s="155"/>
      <c r="T19" s="152"/>
      <c r="U19" s="91">
        <v>443373</v>
      </c>
      <c r="V19" s="155"/>
      <c r="W19" s="152"/>
      <c r="X19" s="91">
        <v>444027</v>
      </c>
      <c r="Y19" s="155"/>
      <c r="Z19" s="152"/>
      <c r="AA19" s="91">
        <v>0</v>
      </c>
      <c r="AB19" s="155"/>
      <c r="AC19" s="152"/>
      <c r="AD19" s="91">
        <v>445978</v>
      </c>
      <c r="AE19" s="155"/>
      <c r="AF19" s="152"/>
      <c r="AG19" s="91">
        <v>446131</v>
      </c>
      <c r="AH19" s="155"/>
      <c r="AI19" s="152"/>
      <c r="AJ19" s="91">
        <v>0</v>
      </c>
      <c r="AK19" s="155"/>
      <c r="AL19" s="152"/>
    </row>
    <row r="20" spans="1:38" s="28" customFormat="1" ht="38.25" customHeight="1" x14ac:dyDescent="0.2">
      <c r="A20" s="46" t="s">
        <v>47</v>
      </c>
      <c r="B20" s="47" t="s">
        <v>71</v>
      </c>
      <c r="C20" s="46" t="s">
        <v>67</v>
      </c>
      <c r="D20" s="54">
        <v>0</v>
      </c>
      <c r="E20" s="48">
        <f>D20*50</f>
        <v>0</v>
      </c>
      <c r="F20" s="46" t="str">
        <f>C20</f>
        <v>N/A</v>
      </c>
      <c r="G20" s="54">
        <f>112+50+6+193+3+60+10+18+4+64+23</f>
        <v>543</v>
      </c>
      <c r="H20" s="48">
        <f>G20*50</f>
        <v>27150</v>
      </c>
      <c r="I20" s="46" t="str">
        <f>C20</f>
        <v>N/A</v>
      </c>
      <c r="J20" s="54">
        <f>26+111+45+24+34+14+12+6+9+27+48+50+16+24+92+70+35+26</f>
        <v>669</v>
      </c>
      <c r="K20" s="48">
        <f>J20*50</f>
        <v>33450</v>
      </c>
      <c r="L20" s="46" t="str">
        <f>I20</f>
        <v>N/A</v>
      </c>
      <c r="M20" s="54">
        <v>527</v>
      </c>
      <c r="N20" s="48">
        <f>M20*50</f>
        <v>26350</v>
      </c>
      <c r="O20" s="46" t="str">
        <f>L20</f>
        <v>N/A</v>
      </c>
      <c r="P20" s="54">
        <v>632</v>
      </c>
      <c r="Q20" s="48">
        <f>P20*50</f>
        <v>31600</v>
      </c>
      <c r="R20" s="46" t="str">
        <f>O20</f>
        <v>N/A</v>
      </c>
      <c r="S20" s="54">
        <v>415</v>
      </c>
      <c r="T20" s="48">
        <f>S20*50</f>
        <v>20750</v>
      </c>
      <c r="U20" s="46" t="str">
        <f>R20</f>
        <v>N/A</v>
      </c>
      <c r="V20" s="54">
        <v>398</v>
      </c>
      <c r="W20" s="48">
        <f>V20*50</f>
        <v>19900</v>
      </c>
      <c r="X20" s="46" t="str">
        <f>U20</f>
        <v>N/A</v>
      </c>
      <c r="Y20" s="54">
        <f>57+31+42+38+45+27</f>
        <v>240</v>
      </c>
      <c r="Z20" s="48">
        <f>Y20*50</f>
        <v>12000</v>
      </c>
      <c r="AA20" s="46" t="str">
        <f>X20</f>
        <v>N/A</v>
      </c>
      <c r="AB20" s="54">
        <v>426</v>
      </c>
      <c r="AC20" s="48">
        <f>AB20*50</f>
        <v>21300</v>
      </c>
      <c r="AD20" s="46" t="str">
        <f>AA20</f>
        <v>N/A</v>
      </c>
      <c r="AE20" s="54">
        <f>59+115+24+48+93+38+30+40+100+31+109+60</f>
        <v>747</v>
      </c>
      <c r="AF20" s="48">
        <f>AE20*50</f>
        <v>37350</v>
      </c>
      <c r="AG20" s="46" t="str">
        <f>AD20</f>
        <v>N/A</v>
      </c>
      <c r="AH20" s="54">
        <v>1041</v>
      </c>
      <c r="AI20" s="48">
        <f>AH20*50</f>
        <v>52050</v>
      </c>
      <c r="AJ20" s="46" t="str">
        <f>AG20</f>
        <v>N/A</v>
      </c>
      <c r="AK20" s="54"/>
      <c r="AL20" s="48">
        <f>AK20*50</f>
        <v>0</v>
      </c>
    </row>
    <row r="21" spans="1:38" s="28" customFormat="1" ht="38.25" customHeight="1" x14ac:dyDescent="0.2">
      <c r="A21" s="26" t="s">
        <v>49</v>
      </c>
      <c r="B21" s="93" t="s">
        <v>50</v>
      </c>
      <c r="C21" s="26" t="s">
        <v>67</v>
      </c>
      <c r="D21" s="53">
        <v>0</v>
      </c>
      <c r="E21" s="49">
        <f t="shared" ref="E21" si="14">D21*50</f>
        <v>0</v>
      </c>
      <c r="F21" s="26" t="s">
        <v>67</v>
      </c>
      <c r="G21" s="53">
        <f>30+3+3+2+6+3+18+9+38+84</f>
        <v>196</v>
      </c>
      <c r="H21" s="49">
        <f t="shared" ref="H21" si="15">G21*50</f>
        <v>9800</v>
      </c>
      <c r="I21" s="26" t="s">
        <v>67</v>
      </c>
      <c r="J21" s="53">
        <f>6+42+6+17+9+11+4+6+37+21+20+15</f>
        <v>194</v>
      </c>
      <c r="K21" s="49">
        <f t="shared" ref="K21" si="16">J21*50</f>
        <v>9700</v>
      </c>
      <c r="L21" s="26" t="s">
        <v>67</v>
      </c>
      <c r="M21" s="53">
        <v>407</v>
      </c>
      <c r="N21" s="49">
        <f t="shared" ref="N21" si="17">M21*50</f>
        <v>20350</v>
      </c>
      <c r="O21" s="26" t="s">
        <v>67</v>
      </c>
      <c r="P21" s="53">
        <v>372</v>
      </c>
      <c r="Q21" s="49">
        <f t="shared" ref="Q21" si="18">P21*50</f>
        <v>18600</v>
      </c>
      <c r="R21" s="26" t="s">
        <v>67</v>
      </c>
      <c r="S21" s="53">
        <v>3274</v>
      </c>
      <c r="T21" s="49">
        <f t="shared" ref="T21" si="19">S21*50</f>
        <v>163700</v>
      </c>
      <c r="U21" s="26" t="s">
        <v>67</v>
      </c>
      <c r="V21" s="53">
        <v>0</v>
      </c>
      <c r="W21" s="49">
        <f t="shared" ref="W21" si="20">V21*50</f>
        <v>0</v>
      </c>
      <c r="X21" s="26" t="s">
        <v>67</v>
      </c>
      <c r="Y21" s="53">
        <v>0</v>
      </c>
      <c r="Z21" s="49">
        <f t="shared" ref="Z21" si="21">Y21*50</f>
        <v>0</v>
      </c>
      <c r="AA21" s="26" t="s">
        <v>67</v>
      </c>
      <c r="AB21" s="53">
        <v>0</v>
      </c>
      <c r="AC21" s="49">
        <f t="shared" ref="AC21" si="22">AB21*50</f>
        <v>0</v>
      </c>
      <c r="AD21" s="26" t="s">
        <v>67</v>
      </c>
      <c r="AE21" s="53">
        <f>6+8+2+4+5+18+8+7+10+11+2+112</f>
        <v>193</v>
      </c>
      <c r="AF21" s="49">
        <f t="shared" ref="AF21" si="23">AE21*50</f>
        <v>9650</v>
      </c>
      <c r="AG21" s="26" t="s">
        <v>67</v>
      </c>
      <c r="AH21" s="53">
        <f>2+1+20+10+14+1+4+4+12+7+407+7+2+42+4+1+5+6+35+1</f>
        <v>585</v>
      </c>
      <c r="AI21" s="49">
        <f t="shared" ref="AI21" si="24">AH21*50</f>
        <v>29250</v>
      </c>
      <c r="AJ21" s="26" t="s">
        <v>67</v>
      </c>
      <c r="AK21" s="53">
        <v>0</v>
      </c>
      <c r="AL21" s="49">
        <f t="shared" ref="AL21" si="25">AK21*50</f>
        <v>0</v>
      </c>
    </row>
    <row r="22" spans="1:38" s="55" customFormat="1" ht="22.5" customHeight="1" x14ac:dyDescent="0.2">
      <c r="A22" s="162" t="s">
        <v>52</v>
      </c>
      <c r="B22" s="163"/>
      <c r="C22" s="163"/>
      <c r="D22" s="163"/>
      <c r="E22" s="163"/>
      <c r="F22" s="164"/>
      <c r="G22" s="94">
        <f>SUM(G12:G21)</f>
        <v>2626</v>
      </c>
      <c r="H22" s="95">
        <f>SUM(H12:H21)</f>
        <v>131300</v>
      </c>
      <c r="I22" s="41"/>
      <c r="J22" s="94">
        <f>SUM(J12:J21)</f>
        <v>2778</v>
      </c>
      <c r="K22" s="95">
        <f>SUM(K12:K21)</f>
        <v>138900</v>
      </c>
      <c r="L22" s="41"/>
      <c r="M22" s="57">
        <f>SUM(M12:M21)</f>
        <v>4962</v>
      </c>
      <c r="N22" s="56">
        <f>SUM(N3:N21)</f>
        <v>608650</v>
      </c>
      <c r="O22" s="41"/>
      <c r="P22" s="57">
        <f>SUM(P12:P21)</f>
        <v>3996</v>
      </c>
      <c r="Q22" s="56">
        <f>SUM(Q3:Q21)</f>
        <v>268950</v>
      </c>
      <c r="R22" s="41"/>
      <c r="S22" s="57">
        <f>SUM(S12:S21)</f>
        <v>9070</v>
      </c>
      <c r="T22" s="56">
        <f>SUM(T3:T21)</f>
        <v>510050</v>
      </c>
      <c r="U22" s="58"/>
      <c r="V22" s="57">
        <f>SUM(V12:V21)</f>
        <v>2544</v>
      </c>
      <c r="W22" s="56">
        <f>SUM(W3:W21)</f>
        <v>196950</v>
      </c>
      <c r="X22" s="58"/>
      <c r="Y22" s="57">
        <f>SUM(Y3:Y21)</f>
        <v>4452</v>
      </c>
      <c r="Z22" s="56">
        <f>SUM(Z3:Z21)</f>
        <v>222600</v>
      </c>
      <c r="AA22" s="58"/>
      <c r="AB22" s="57">
        <f>SUM(AB3:AB21)</f>
        <v>3204</v>
      </c>
      <c r="AC22" s="56">
        <f>SUM(AC3:AC21)</f>
        <v>160200</v>
      </c>
      <c r="AD22" s="58"/>
      <c r="AE22" s="57">
        <f>SUM(AE3:AE21)</f>
        <v>5416</v>
      </c>
      <c r="AF22" s="56">
        <f>SUM(AF3:AF21)</f>
        <v>270800</v>
      </c>
      <c r="AG22" s="58"/>
      <c r="AH22" s="57">
        <f>SUM(AH3:AH21)</f>
        <v>6059</v>
      </c>
      <c r="AI22" s="56">
        <f>SUM(AI3:AI21)</f>
        <v>302950</v>
      </c>
      <c r="AJ22" s="58"/>
      <c r="AK22" s="57">
        <f>SUM(AK12:AK21)</f>
        <v>0</v>
      </c>
      <c r="AL22" s="56">
        <f>SUM(AL12:AL21)</f>
        <v>0</v>
      </c>
    </row>
    <row r="23" spans="1:38" x14ac:dyDescent="0.2">
      <c r="D23" s="29">
        <f>SUM(D3:D21)</f>
        <v>2475</v>
      </c>
      <c r="H23" s="32">
        <f>+H22+Q22+U22+T22+W22</f>
        <v>1107250</v>
      </c>
      <c r="I23" s="31"/>
      <c r="L23" s="31"/>
      <c r="O23" s="31"/>
      <c r="R23" s="31"/>
      <c r="S23" s="31">
        <f>+S22+P22</f>
        <v>13066</v>
      </c>
      <c r="T23" s="32"/>
    </row>
    <row r="24" spans="1:38" x14ac:dyDescent="0.2">
      <c r="D24" s="11"/>
      <c r="G24" s="11"/>
      <c r="H24" s="32">
        <f>+H22+K22+N22+Q22+T22+W22+Z22+AC22+AF22+AI22</f>
        <v>2811350</v>
      </c>
      <c r="R24" s="31"/>
      <c r="S24" s="31">
        <f>+S23/2</f>
        <v>6533</v>
      </c>
    </row>
    <row r="25" spans="1:38" x14ac:dyDescent="0.2">
      <c r="C25" s="33"/>
      <c r="D25" s="34"/>
      <c r="F25" s="33"/>
      <c r="G25" s="34"/>
      <c r="H25" s="30">
        <f>+H24/10</f>
        <v>281135</v>
      </c>
      <c r="S25" s="31">
        <f>+S24*56</f>
        <v>365848</v>
      </c>
    </row>
    <row r="26" spans="1:38" x14ac:dyDescent="0.2">
      <c r="H26" s="30">
        <f>+H25/50</f>
        <v>5622.7</v>
      </c>
    </row>
    <row r="27" spans="1:38" x14ac:dyDescent="0.2">
      <c r="H27" s="118">
        <f>+H26*10</f>
        <v>56227</v>
      </c>
    </row>
    <row r="36" spans="2:23" x14ac:dyDescent="0.2">
      <c r="B36" s="35"/>
      <c r="C36" s="35"/>
      <c r="D36" s="34"/>
      <c r="E36" s="36"/>
      <c r="F36" s="35"/>
      <c r="G36" s="34"/>
      <c r="H36" s="36"/>
      <c r="I36" s="35"/>
      <c r="J36" s="34"/>
      <c r="K36" s="36"/>
      <c r="L36" s="35"/>
      <c r="M36" s="34"/>
      <c r="N36" s="36"/>
      <c r="O36" s="35"/>
      <c r="P36" s="34"/>
      <c r="Q36" s="36"/>
      <c r="R36" s="35"/>
      <c r="S36" s="37"/>
      <c r="T36" s="36"/>
      <c r="U36" s="35"/>
      <c r="V36" s="37"/>
      <c r="W36" s="36"/>
    </row>
    <row r="126" spans="3:8" x14ac:dyDescent="0.2">
      <c r="C126" s="38"/>
      <c r="E126" s="39"/>
      <c r="F126" s="38"/>
      <c r="H126" s="39"/>
    </row>
    <row r="247" spans="1:38" x14ac:dyDescent="0.2">
      <c r="A247" s="40"/>
      <c r="B247" s="40"/>
      <c r="C247" s="40"/>
      <c r="D247" s="41"/>
      <c r="E247" s="42"/>
      <c r="F247" s="40"/>
      <c r="G247" s="41"/>
      <c r="H247" s="42"/>
      <c r="I247" s="40"/>
      <c r="J247" s="41"/>
      <c r="K247" s="42"/>
      <c r="L247" s="40"/>
      <c r="M247" s="41"/>
      <c r="N247" s="42"/>
      <c r="O247" s="40"/>
      <c r="P247" s="41"/>
      <c r="Q247" s="42"/>
      <c r="R247" s="40"/>
      <c r="S247" s="40"/>
      <c r="T247" s="42"/>
      <c r="U247" s="40"/>
      <c r="V247" s="40"/>
      <c r="W247" s="42"/>
    </row>
    <row r="248" spans="1:38" x14ac:dyDescent="0.2">
      <c r="A248" s="40"/>
      <c r="B248" s="40"/>
      <c r="C248" s="40"/>
      <c r="D248" s="41"/>
      <c r="E248" s="42"/>
      <c r="F248" s="40"/>
      <c r="G248" s="41"/>
      <c r="H248" s="42"/>
      <c r="I248" s="40"/>
      <c r="J248" s="41"/>
      <c r="K248" s="42"/>
      <c r="L248" s="40"/>
      <c r="M248" s="41"/>
      <c r="N248" s="42"/>
      <c r="O248" s="40"/>
      <c r="P248" s="41"/>
      <c r="Q248" s="42"/>
      <c r="R248" s="40"/>
      <c r="S248" s="40"/>
      <c r="T248" s="42"/>
      <c r="U248" s="40"/>
      <c r="V248" s="40"/>
      <c r="W248" s="42"/>
      <c r="X248" s="40"/>
      <c r="Y248" s="40"/>
      <c r="Z248" s="42"/>
      <c r="AD248" s="40"/>
      <c r="AE248" s="41"/>
      <c r="AF248" s="42"/>
      <c r="AJ248" s="40"/>
      <c r="AK248" s="41"/>
      <c r="AL248" s="42"/>
    </row>
    <row r="249" spans="1:38" x14ac:dyDescent="0.2">
      <c r="A249" s="40"/>
      <c r="B249" s="40"/>
      <c r="C249" s="40"/>
      <c r="D249" s="41"/>
      <c r="E249" s="42"/>
      <c r="F249" s="40"/>
      <c r="G249" s="41"/>
      <c r="H249" s="42"/>
      <c r="I249" s="40"/>
      <c r="J249" s="41"/>
      <c r="K249" s="42"/>
      <c r="L249" s="40"/>
      <c r="M249" s="41"/>
      <c r="N249" s="42"/>
      <c r="O249" s="40"/>
      <c r="P249" s="41"/>
      <c r="Q249" s="42"/>
      <c r="R249" s="40"/>
      <c r="S249" s="40"/>
      <c r="T249" s="42"/>
      <c r="U249" s="40"/>
      <c r="V249" s="40"/>
      <c r="W249" s="42"/>
      <c r="X249" s="40"/>
      <c r="Y249" s="40"/>
      <c r="Z249" s="42"/>
      <c r="AA249" s="28"/>
      <c r="AB249" s="43"/>
      <c r="AC249" s="44"/>
      <c r="AD249" s="40"/>
      <c r="AE249" s="41"/>
      <c r="AF249" s="42"/>
      <c r="AG249" s="28"/>
      <c r="AH249" s="45"/>
      <c r="AI249" s="44"/>
      <c r="AJ249" s="40"/>
      <c r="AK249" s="41"/>
      <c r="AL249" s="42"/>
    </row>
    <row r="250" spans="1:38" x14ac:dyDescent="0.2">
      <c r="A250" s="40"/>
      <c r="B250" s="40"/>
      <c r="C250" s="40"/>
      <c r="D250" s="41"/>
      <c r="E250" s="42"/>
      <c r="F250" s="40"/>
      <c r="G250" s="41"/>
      <c r="H250" s="42"/>
      <c r="I250" s="40"/>
      <c r="J250" s="41"/>
      <c r="K250" s="42"/>
      <c r="L250" s="40"/>
      <c r="M250" s="41"/>
      <c r="N250" s="42"/>
      <c r="O250" s="40"/>
      <c r="P250" s="41"/>
      <c r="Q250" s="42"/>
      <c r="R250" s="40"/>
      <c r="S250" s="40"/>
      <c r="T250" s="42"/>
      <c r="U250" s="40"/>
      <c r="V250" s="40"/>
      <c r="W250" s="42"/>
      <c r="X250" s="40"/>
      <c r="Y250" s="40"/>
      <c r="Z250" s="42"/>
      <c r="AD250" s="40"/>
      <c r="AE250" s="41"/>
      <c r="AF250" s="42"/>
      <c r="AJ250" s="40"/>
      <c r="AK250" s="41"/>
      <c r="AL250" s="42"/>
    </row>
    <row r="251" spans="1:38" x14ac:dyDescent="0.2">
      <c r="A251" s="40"/>
      <c r="B251" s="40"/>
      <c r="C251" s="40"/>
      <c r="D251" s="41"/>
      <c r="E251" s="42"/>
      <c r="F251" s="40"/>
      <c r="G251" s="41"/>
      <c r="H251" s="42"/>
      <c r="I251" s="40"/>
      <c r="J251" s="41"/>
      <c r="K251" s="42"/>
      <c r="L251" s="40"/>
      <c r="M251" s="41"/>
      <c r="N251" s="42"/>
      <c r="O251" s="40"/>
      <c r="P251" s="41"/>
      <c r="Q251" s="42"/>
      <c r="R251" s="40"/>
      <c r="S251" s="40"/>
      <c r="T251" s="42"/>
      <c r="U251" s="40"/>
      <c r="V251" s="40"/>
      <c r="W251" s="42"/>
      <c r="X251" s="40"/>
      <c r="Y251" s="40"/>
      <c r="Z251" s="42"/>
      <c r="AD251" s="40"/>
      <c r="AE251" s="41"/>
      <c r="AF251" s="42"/>
      <c r="AJ251" s="40"/>
      <c r="AK251" s="41"/>
      <c r="AL251" s="42"/>
    </row>
    <row r="252" spans="1:38" x14ac:dyDescent="0.2">
      <c r="A252" s="40"/>
      <c r="B252" s="40"/>
      <c r="C252" s="40"/>
      <c r="D252" s="41"/>
      <c r="E252" s="42"/>
      <c r="F252" s="40"/>
      <c r="G252" s="41"/>
      <c r="H252" s="42"/>
      <c r="I252" s="40"/>
      <c r="J252" s="41"/>
      <c r="K252" s="42"/>
      <c r="L252" s="40"/>
      <c r="M252" s="41"/>
      <c r="N252" s="42"/>
      <c r="O252" s="40"/>
      <c r="P252" s="41"/>
      <c r="Q252" s="42"/>
      <c r="R252" s="40"/>
      <c r="S252" s="40"/>
      <c r="T252" s="42"/>
      <c r="U252" s="40"/>
      <c r="V252" s="40"/>
      <c r="W252" s="42"/>
      <c r="X252" s="40"/>
      <c r="Y252" s="40"/>
      <c r="Z252" s="42"/>
      <c r="AD252" s="40"/>
      <c r="AE252" s="41"/>
      <c r="AF252" s="42"/>
      <c r="AJ252" s="40"/>
      <c r="AK252" s="41"/>
      <c r="AL252" s="42"/>
    </row>
    <row r="253" spans="1:38" x14ac:dyDescent="0.2">
      <c r="X253" s="40"/>
      <c r="Y253" s="40"/>
      <c r="Z253" s="42"/>
      <c r="AD253" s="40"/>
      <c r="AE253" s="41"/>
      <c r="AF253" s="42"/>
      <c r="AJ253" s="40"/>
      <c r="AK253" s="41"/>
      <c r="AL253" s="42"/>
    </row>
  </sheetData>
  <mergeCells count="165">
    <mergeCell ref="AC18:AC19"/>
    <mergeCell ref="AE18:AE19"/>
    <mergeCell ref="AF18:AF19"/>
    <mergeCell ref="AH18:AH19"/>
    <mergeCell ref="AI18:AI19"/>
    <mergeCell ref="AK18:AK19"/>
    <mergeCell ref="AL18:AL19"/>
    <mergeCell ref="A17:A19"/>
    <mergeCell ref="P18:P19"/>
    <mergeCell ref="Q18:Q19"/>
    <mergeCell ref="S18:S19"/>
    <mergeCell ref="T18:T19"/>
    <mergeCell ref="V18:V19"/>
    <mergeCell ref="W18:W19"/>
    <mergeCell ref="Y18:Y19"/>
    <mergeCell ref="Z18:Z19"/>
    <mergeCell ref="AB18:AB19"/>
    <mergeCell ref="A22:F22"/>
    <mergeCell ref="AH3:AH4"/>
    <mergeCell ref="AI3:AI4"/>
    <mergeCell ref="AK3:AK4"/>
    <mergeCell ref="AL3:AL4"/>
    <mergeCell ref="Y3:Y4"/>
    <mergeCell ref="Z3:Z4"/>
    <mergeCell ref="AB3:AB4"/>
    <mergeCell ref="AC3:AC4"/>
    <mergeCell ref="AE3:AE4"/>
    <mergeCell ref="AF3:AF4"/>
    <mergeCell ref="P3:P4"/>
    <mergeCell ref="Q3:Q4"/>
    <mergeCell ref="S3:S4"/>
    <mergeCell ref="T3:T4"/>
    <mergeCell ref="V3:V4"/>
    <mergeCell ref="D18:D19"/>
    <mergeCell ref="E18:E19"/>
    <mergeCell ref="G18:G19"/>
    <mergeCell ref="H18:H19"/>
    <mergeCell ref="J18:J19"/>
    <mergeCell ref="K18:K19"/>
    <mergeCell ref="M18:M19"/>
    <mergeCell ref="N18:N19"/>
    <mergeCell ref="V5:V6"/>
    <mergeCell ref="W5:W6"/>
    <mergeCell ref="Y5:Y6"/>
    <mergeCell ref="Z5:Z6"/>
    <mergeCell ref="W3:W4"/>
    <mergeCell ref="A3:A4"/>
    <mergeCell ref="D3:D4"/>
    <mergeCell ref="E3:E4"/>
    <mergeCell ref="G3:G4"/>
    <mergeCell ref="H3:H4"/>
    <mergeCell ref="J3:J4"/>
    <mergeCell ref="K3:K4"/>
    <mergeCell ref="M3:M4"/>
    <mergeCell ref="N3:N4"/>
    <mergeCell ref="AK7:AK8"/>
    <mergeCell ref="AL7:AL8"/>
    <mergeCell ref="AB7:AB8"/>
    <mergeCell ref="AC7:AC8"/>
    <mergeCell ref="AK5:AK6"/>
    <mergeCell ref="AL5:AL6"/>
    <mergeCell ref="AF5:AF6"/>
    <mergeCell ref="AH5:AH6"/>
    <mergeCell ref="AI5:AI6"/>
    <mergeCell ref="AE7:AE8"/>
    <mergeCell ref="AF7:AF8"/>
    <mergeCell ref="AH7:AH8"/>
    <mergeCell ref="AI7:AI8"/>
    <mergeCell ref="AB5:AB6"/>
    <mergeCell ref="AC5:AC6"/>
    <mergeCell ref="AE5:AE6"/>
    <mergeCell ref="AG1:AI1"/>
    <mergeCell ref="AJ1:AL1"/>
    <mergeCell ref="A7:A8"/>
    <mergeCell ref="D7:D8"/>
    <mergeCell ref="E7:E8"/>
    <mergeCell ref="G7:G8"/>
    <mergeCell ref="H7:H8"/>
    <mergeCell ref="J7:J8"/>
    <mergeCell ref="K7:K8"/>
    <mergeCell ref="O1:Q1"/>
    <mergeCell ref="R1:T1"/>
    <mergeCell ref="U1:W1"/>
    <mergeCell ref="X1:Z1"/>
    <mergeCell ref="AA1:AC1"/>
    <mergeCell ref="W7:W8"/>
    <mergeCell ref="Y7:Y8"/>
    <mergeCell ref="Z7:Z8"/>
    <mergeCell ref="M7:M8"/>
    <mergeCell ref="N7:N8"/>
    <mergeCell ref="P7:P8"/>
    <mergeCell ref="Q7:Q8"/>
    <mergeCell ref="S7:S8"/>
    <mergeCell ref="T7:T8"/>
    <mergeCell ref="M5:M6"/>
    <mergeCell ref="A9:A11"/>
    <mergeCell ref="D10:D11"/>
    <mergeCell ref="E10:E11"/>
    <mergeCell ref="G10:G11"/>
    <mergeCell ref="AD1:AF1"/>
    <mergeCell ref="A1:A2"/>
    <mergeCell ref="B1:B2"/>
    <mergeCell ref="C1:E1"/>
    <mergeCell ref="F1:H1"/>
    <mergeCell ref="I1:K1"/>
    <mergeCell ref="L1:N1"/>
    <mergeCell ref="P5:P6"/>
    <mergeCell ref="Q5:Q6"/>
    <mergeCell ref="N5:N6"/>
    <mergeCell ref="V7:V8"/>
    <mergeCell ref="J5:J6"/>
    <mergeCell ref="K5:K6"/>
    <mergeCell ref="A5:A6"/>
    <mergeCell ref="D5:D6"/>
    <mergeCell ref="E5:E6"/>
    <mergeCell ref="G5:G6"/>
    <mergeCell ref="H5:H6"/>
    <mergeCell ref="S5:S6"/>
    <mergeCell ref="T5:T6"/>
    <mergeCell ref="AB10:AB11"/>
    <mergeCell ref="AC10:AC11"/>
    <mergeCell ref="P10:P11"/>
    <mergeCell ref="Q10:Q11"/>
    <mergeCell ref="S10:S11"/>
    <mergeCell ref="T10:T11"/>
    <mergeCell ref="V10:V11"/>
    <mergeCell ref="H10:H11"/>
    <mergeCell ref="J10:J11"/>
    <mergeCell ref="K10:K11"/>
    <mergeCell ref="M10:M11"/>
    <mergeCell ref="N10:N11"/>
    <mergeCell ref="AL10:AL11"/>
    <mergeCell ref="A14:A16"/>
    <mergeCell ref="D15:D16"/>
    <mergeCell ref="E15:E16"/>
    <mergeCell ref="G15:G16"/>
    <mergeCell ref="H15:H16"/>
    <mergeCell ref="J15:J16"/>
    <mergeCell ref="K15:K16"/>
    <mergeCell ref="M15:M16"/>
    <mergeCell ref="N15:N16"/>
    <mergeCell ref="P15:P16"/>
    <mergeCell ref="Q15:Q16"/>
    <mergeCell ref="S15:S16"/>
    <mergeCell ref="T15:T16"/>
    <mergeCell ref="V15:V16"/>
    <mergeCell ref="W15:W16"/>
    <mergeCell ref="AE10:AE11"/>
    <mergeCell ref="AF10:AF11"/>
    <mergeCell ref="AH10:AH11"/>
    <mergeCell ref="AI10:AI11"/>
    <mergeCell ref="AK10:AK11"/>
    <mergeCell ref="W10:W11"/>
    <mergeCell ref="Y10:Y11"/>
    <mergeCell ref="Z10:Z11"/>
    <mergeCell ref="AF15:AF16"/>
    <mergeCell ref="AH15:AH16"/>
    <mergeCell ref="AI15:AI16"/>
    <mergeCell ref="AK15:AK16"/>
    <mergeCell ref="AL15:AL16"/>
    <mergeCell ref="Y15:Y16"/>
    <mergeCell ref="Z15:Z16"/>
    <mergeCell ref="AB15:AB16"/>
    <mergeCell ref="AC15:AC16"/>
    <mergeCell ref="AE15:AE16"/>
  </mergeCells>
  <pageMargins left="0.7" right="0.7" top="0.75" bottom="0.75" header="0.3" footer="0.3"/>
  <pageSetup paperSize="14"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showGridLines="0" tabSelected="1" zoomScaleNormal="100" workbookViewId="0">
      <selection activeCell="D9" sqref="D9"/>
    </sheetView>
  </sheetViews>
  <sheetFormatPr baseColWidth="10" defaultRowHeight="15" x14ac:dyDescent="0.25"/>
  <cols>
    <col min="1" max="1" width="60.5703125" customWidth="1"/>
    <col min="2" max="2" width="21.5703125" customWidth="1"/>
    <col min="3" max="3" width="23.7109375" customWidth="1"/>
    <col min="4" max="4" width="18.7109375" customWidth="1"/>
    <col min="5" max="5" width="19" customWidth="1"/>
    <col min="6" max="6" width="17.5703125" customWidth="1"/>
    <col min="7" max="7" width="14.140625" bestFit="1" customWidth="1"/>
    <col min="8" max="8" width="18.140625" hidden="1" customWidth="1"/>
    <col min="9" max="9" width="0" hidden="1" customWidth="1"/>
  </cols>
  <sheetData>
    <row r="2" spans="1:9" x14ac:dyDescent="0.25">
      <c r="A2" s="169" t="s">
        <v>143</v>
      </c>
      <c r="B2" s="169"/>
      <c r="C2" s="169"/>
      <c r="D2" s="169"/>
      <c r="E2" s="169"/>
      <c r="F2" s="169"/>
      <c r="G2" s="169"/>
    </row>
    <row r="5" spans="1:9" x14ac:dyDescent="0.25">
      <c r="A5" s="165" t="s">
        <v>123</v>
      </c>
      <c r="B5" s="159">
        <v>2020</v>
      </c>
      <c r="C5" s="160"/>
      <c r="D5" s="160"/>
      <c r="E5" s="160"/>
      <c r="F5" s="160"/>
      <c r="G5" s="161"/>
    </row>
    <row r="6" spans="1:9" ht="76.5" x14ac:dyDescent="0.25">
      <c r="A6" s="165"/>
      <c r="B6" s="119" t="s">
        <v>124</v>
      </c>
      <c r="C6" s="119" t="s">
        <v>124</v>
      </c>
      <c r="D6" s="119" t="s">
        <v>125</v>
      </c>
      <c r="E6" s="119" t="s">
        <v>126</v>
      </c>
      <c r="F6" s="119" t="s">
        <v>127</v>
      </c>
      <c r="G6" s="119" t="s">
        <v>128</v>
      </c>
    </row>
    <row r="7" spans="1:9" ht="25.5" x14ac:dyDescent="0.25">
      <c r="A7" s="120" t="s">
        <v>129</v>
      </c>
      <c r="B7" s="128">
        <v>375000</v>
      </c>
      <c r="C7" s="121">
        <f>170000-160</f>
        <v>169840</v>
      </c>
      <c r="D7" s="121">
        <v>300</v>
      </c>
      <c r="E7" s="121">
        <v>250</v>
      </c>
      <c r="F7" s="125">
        <f>AVERAGE(D7,E7)</f>
        <v>275</v>
      </c>
      <c r="G7" s="129">
        <f>+F7*C7</f>
        <v>46706000</v>
      </c>
    </row>
    <row r="8" spans="1:9" ht="25.5" x14ac:dyDescent="0.25">
      <c r="A8" s="120" t="s">
        <v>130</v>
      </c>
      <c r="B8" s="128">
        <v>148000</v>
      </c>
      <c r="C8" s="121">
        <f>(148000/4)-1824</f>
        <v>35176</v>
      </c>
      <c r="D8" s="121">
        <v>250</v>
      </c>
      <c r="E8" s="121">
        <v>180</v>
      </c>
      <c r="F8" s="125">
        <f t="shared" ref="F8:F13" si="0">AVERAGE(D8,E8)</f>
        <v>215</v>
      </c>
      <c r="G8" s="129">
        <f t="shared" ref="G8:G13" si="1">+F8*C8</f>
        <v>7562840</v>
      </c>
    </row>
    <row r="9" spans="1:9" x14ac:dyDescent="0.25">
      <c r="A9" s="123" t="s">
        <v>142</v>
      </c>
      <c r="B9" s="128">
        <v>139000</v>
      </c>
      <c r="C9" s="121">
        <v>25000</v>
      </c>
      <c r="D9" s="121">
        <v>300</v>
      </c>
      <c r="E9" s="121">
        <v>250</v>
      </c>
      <c r="F9" s="125">
        <f t="shared" si="0"/>
        <v>275</v>
      </c>
      <c r="G9" s="129">
        <f t="shared" si="1"/>
        <v>6875000</v>
      </c>
    </row>
    <row r="10" spans="1:9" x14ac:dyDescent="0.25">
      <c r="A10" s="123" t="s">
        <v>132</v>
      </c>
      <c r="B10" s="128">
        <v>116000</v>
      </c>
      <c r="C10" s="121">
        <f>116000/4</f>
        <v>29000</v>
      </c>
      <c r="D10" s="121">
        <v>250</v>
      </c>
      <c r="E10" s="121">
        <v>180</v>
      </c>
      <c r="F10" s="125">
        <f t="shared" si="0"/>
        <v>215</v>
      </c>
      <c r="G10" s="129">
        <f t="shared" si="1"/>
        <v>6235000</v>
      </c>
    </row>
    <row r="11" spans="1:9" x14ac:dyDescent="0.25">
      <c r="A11" s="123" t="s">
        <v>30</v>
      </c>
      <c r="B11" s="128">
        <v>35000</v>
      </c>
      <c r="C11" s="121">
        <f>35000/4</f>
        <v>8750</v>
      </c>
      <c r="D11" s="121">
        <v>250</v>
      </c>
      <c r="E11" s="121">
        <v>180</v>
      </c>
      <c r="F11" s="125">
        <f t="shared" si="0"/>
        <v>215</v>
      </c>
      <c r="G11" s="129">
        <f t="shared" si="1"/>
        <v>1881250</v>
      </c>
    </row>
    <row r="12" spans="1:9" x14ac:dyDescent="0.25">
      <c r="A12" s="123" t="s">
        <v>133</v>
      </c>
      <c r="B12" s="128">
        <v>60000</v>
      </c>
      <c r="C12" s="121">
        <v>18000</v>
      </c>
      <c r="D12" s="121">
        <v>250</v>
      </c>
      <c r="E12" s="121">
        <v>180</v>
      </c>
      <c r="F12" s="125">
        <f t="shared" si="0"/>
        <v>215</v>
      </c>
      <c r="G12" s="129">
        <f t="shared" si="1"/>
        <v>3870000</v>
      </c>
    </row>
    <row r="13" spans="1:9" ht="25.5" x14ac:dyDescent="0.25">
      <c r="A13" s="123" t="s">
        <v>134</v>
      </c>
      <c r="B13" s="128">
        <v>57000</v>
      </c>
      <c r="C13" s="121">
        <v>18000</v>
      </c>
      <c r="D13" s="121">
        <v>270</v>
      </c>
      <c r="E13" s="121">
        <v>250</v>
      </c>
      <c r="F13" s="125">
        <f t="shared" si="0"/>
        <v>260</v>
      </c>
      <c r="G13" s="129">
        <f t="shared" si="1"/>
        <v>4680000</v>
      </c>
    </row>
    <row r="14" spans="1:9" x14ac:dyDescent="0.25">
      <c r="A14" s="166" t="s">
        <v>135</v>
      </c>
      <c r="B14" s="167"/>
      <c r="C14" s="167"/>
      <c r="D14" s="167"/>
      <c r="E14" s="167"/>
      <c r="F14" s="168"/>
      <c r="G14" s="124">
        <f>SUM(G7:G13)</f>
        <v>77810090</v>
      </c>
    </row>
    <row r="15" spans="1:9" x14ac:dyDescent="0.25">
      <c r="A15" s="166" t="s">
        <v>140</v>
      </c>
      <c r="B15" s="167"/>
      <c r="C15" s="167"/>
      <c r="D15" s="167"/>
      <c r="E15" s="167"/>
      <c r="F15" s="168"/>
      <c r="G15" s="122">
        <f>ROUND((G14*67.83%),0)</f>
        <v>52778584</v>
      </c>
      <c r="H15">
        <v>52778659</v>
      </c>
      <c r="I15" s="127">
        <f>+H15-G15</f>
        <v>75</v>
      </c>
    </row>
    <row r="16" spans="1:9" x14ac:dyDescent="0.25">
      <c r="A16" s="166" t="s">
        <v>141</v>
      </c>
      <c r="B16" s="167"/>
      <c r="C16" s="167"/>
      <c r="D16" s="167"/>
      <c r="E16" s="167"/>
      <c r="F16" s="168"/>
      <c r="G16" s="122">
        <f>ROUND((G14*32.17%),0)</f>
        <v>25031506</v>
      </c>
      <c r="H16" s="127">
        <v>25031541</v>
      </c>
      <c r="I16" s="127">
        <f>+H16-G16</f>
        <v>35</v>
      </c>
    </row>
    <row r="17" spans="7:9" x14ac:dyDescent="0.25">
      <c r="H17" s="127"/>
      <c r="I17" s="127">
        <f>+I15+I16</f>
        <v>110</v>
      </c>
    </row>
    <row r="18" spans="7:9" x14ac:dyDescent="0.25">
      <c r="I18">
        <f>+I17/275</f>
        <v>0.4</v>
      </c>
    </row>
    <row r="23" spans="7:9" x14ac:dyDescent="0.25">
      <c r="G23" s="127"/>
    </row>
  </sheetData>
  <sheetProtection algorithmName="SHA-512" hashValue="u2RnLNOiLhcVCXrtxxKmjka+48C8TjQLNIvEqGFvwuwGjIr1EDMK+qyUV11SuP3Csbn5sMrDEiHcfAFRNLxM4A==" saltValue="Y/zOFdmJU7VO49RdMGTZBQ==" spinCount="100000" sheet="1" objects="1" scenarios="1"/>
  <mergeCells count="6">
    <mergeCell ref="A2:G2"/>
    <mergeCell ref="A5:A6"/>
    <mergeCell ref="B5:G5"/>
    <mergeCell ref="A14:F14"/>
    <mergeCell ref="A15:F15"/>
    <mergeCell ref="A16:F16"/>
  </mergeCells>
  <pageMargins left="0.7" right="0.7" top="0.75" bottom="0.75" header="0.3" footer="0.3"/>
  <pageSetup paperSize="14" scale="84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10" sqref="D10"/>
    </sheetView>
  </sheetViews>
  <sheetFormatPr baseColWidth="10" defaultRowHeight="15" x14ac:dyDescent="0.25"/>
  <cols>
    <col min="1" max="1" width="60.5703125" customWidth="1"/>
    <col min="2" max="2" width="23.7109375" customWidth="1"/>
    <col min="3" max="3" width="17.5703125" customWidth="1"/>
    <col min="4" max="4" width="18.85546875" customWidth="1"/>
  </cols>
  <sheetData>
    <row r="1" spans="1:4" x14ac:dyDescent="0.25">
      <c r="A1" s="165" t="s">
        <v>123</v>
      </c>
      <c r="B1" s="160" t="s">
        <v>139</v>
      </c>
      <c r="C1" s="160"/>
      <c r="D1" s="161"/>
    </row>
    <row r="2" spans="1:4" ht="76.5" x14ac:dyDescent="0.25">
      <c r="A2" s="165"/>
      <c r="B2" s="119" t="s">
        <v>124</v>
      </c>
      <c r="C2" s="119" t="s">
        <v>136</v>
      </c>
      <c r="D2" s="119" t="s">
        <v>128</v>
      </c>
    </row>
    <row r="3" spans="1:4" ht="25.5" x14ac:dyDescent="0.25">
      <c r="A3" s="120" t="s">
        <v>129</v>
      </c>
      <c r="B3" s="121">
        <v>200000</v>
      </c>
      <c r="C3" s="126" t="s">
        <v>138</v>
      </c>
      <c r="D3" s="122" t="s">
        <v>138</v>
      </c>
    </row>
    <row r="4" spans="1:4" ht="25.5" x14ac:dyDescent="0.25">
      <c r="A4" s="120" t="s">
        <v>130</v>
      </c>
      <c r="B4" s="121">
        <v>35176</v>
      </c>
      <c r="C4" s="126" t="s">
        <v>138</v>
      </c>
      <c r="D4" s="122" t="s">
        <v>138</v>
      </c>
    </row>
    <row r="5" spans="1:4" x14ac:dyDescent="0.25">
      <c r="A5" s="123" t="s">
        <v>131</v>
      </c>
      <c r="B5" s="121">
        <v>34750</v>
      </c>
      <c r="C5" s="126" t="s">
        <v>138</v>
      </c>
      <c r="D5" s="122" t="s">
        <v>138</v>
      </c>
    </row>
    <row r="6" spans="1:4" x14ac:dyDescent="0.25">
      <c r="A6" s="123" t="s">
        <v>132</v>
      </c>
      <c r="B6" s="121">
        <v>29000</v>
      </c>
      <c r="C6" s="126" t="s">
        <v>138</v>
      </c>
      <c r="D6" s="122" t="s">
        <v>138</v>
      </c>
    </row>
    <row r="7" spans="1:4" x14ac:dyDescent="0.25">
      <c r="A7" s="123" t="s">
        <v>30</v>
      </c>
      <c r="B7" s="121">
        <v>8750</v>
      </c>
      <c r="C7" s="126" t="s">
        <v>138</v>
      </c>
      <c r="D7" s="122" t="s">
        <v>138</v>
      </c>
    </row>
    <row r="8" spans="1:4" x14ac:dyDescent="0.25">
      <c r="A8" s="123" t="s">
        <v>133</v>
      </c>
      <c r="B8" s="121">
        <v>20000</v>
      </c>
      <c r="C8" s="126" t="s">
        <v>138</v>
      </c>
      <c r="D8" s="122" t="s">
        <v>138</v>
      </c>
    </row>
    <row r="9" spans="1:4" ht="25.5" x14ac:dyDescent="0.25">
      <c r="A9" s="123" t="s">
        <v>134</v>
      </c>
      <c r="B9" s="121">
        <v>19000</v>
      </c>
      <c r="C9" s="126" t="s">
        <v>138</v>
      </c>
      <c r="D9" s="122" t="s">
        <v>138</v>
      </c>
    </row>
    <row r="10" spans="1:4" x14ac:dyDescent="0.25">
      <c r="A10" s="166" t="s">
        <v>137</v>
      </c>
      <c r="B10" s="167"/>
      <c r="C10" s="168"/>
      <c r="D10" s="124">
        <f>SUM(D3:D9)</f>
        <v>0</v>
      </c>
    </row>
  </sheetData>
  <mergeCells count="3">
    <mergeCell ref="A1:A2"/>
    <mergeCell ref="B1:D1"/>
    <mergeCell ref="A10:C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workbookViewId="0">
      <selection activeCell="E12" sqref="E12"/>
    </sheetView>
  </sheetViews>
  <sheetFormatPr baseColWidth="10" defaultRowHeight="15" x14ac:dyDescent="0.25"/>
  <cols>
    <col min="3" max="3" width="26.85546875" bestFit="1" customWidth="1"/>
    <col min="4" max="4" width="12.28515625" customWidth="1"/>
    <col min="5" max="5" width="14" customWidth="1"/>
    <col min="6" max="6" width="15.42578125" customWidth="1"/>
  </cols>
  <sheetData>
    <row r="2" spans="2:6" ht="24" x14ac:dyDescent="0.25">
      <c r="B2" s="64" t="s">
        <v>88</v>
      </c>
      <c r="C2" s="65" t="s">
        <v>87</v>
      </c>
      <c r="D2" s="65" t="s">
        <v>91</v>
      </c>
      <c r="E2" s="65" t="s">
        <v>89</v>
      </c>
      <c r="F2" s="65" t="s">
        <v>90</v>
      </c>
    </row>
    <row r="3" spans="2:6" x14ac:dyDescent="0.25">
      <c r="B3" s="66">
        <v>43442</v>
      </c>
      <c r="C3" s="100" t="s">
        <v>92</v>
      </c>
      <c r="D3" s="67">
        <v>13</v>
      </c>
      <c r="E3" s="99">
        <v>30000</v>
      </c>
      <c r="F3" s="99">
        <f>E3*D3</f>
        <v>390000</v>
      </c>
    </row>
    <row r="4" spans="2:6" x14ac:dyDescent="0.25">
      <c r="B4" s="66">
        <v>43447</v>
      </c>
      <c r="C4" s="100" t="s">
        <v>93</v>
      </c>
      <c r="D4" s="67">
        <v>5</v>
      </c>
      <c r="E4" s="99">
        <v>26000</v>
      </c>
      <c r="F4" s="99">
        <f>D4*E4</f>
        <v>130000</v>
      </c>
    </row>
    <row r="5" spans="2:6" x14ac:dyDescent="0.25">
      <c r="B5" s="66">
        <v>43518</v>
      </c>
      <c r="C5" s="100" t="s">
        <v>94</v>
      </c>
      <c r="D5" s="67">
        <v>36</v>
      </c>
      <c r="E5" s="99">
        <v>35000</v>
      </c>
      <c r="F5" s="99">
        <f>D5*E5</f>
        <v>1260000</v>
      </c>
    </row>
    <row r="6" spans="2:6" x14ac:dyDescent="0.25">
      <c r="B6" s="66">
        <v>43523</v>
      </c>
      <c r="C6" s="100" t="s">
        <v>95</v>
      </c>
      <c r="D6" s="67">
        <v>620</v>
      </c>
      <c r="E6" s="99">
        <v>300</v>
      </c>
      <c r="F6" s="99">
        <f t="shared" ref="F6:F21" si="0">D6*E6</f>
        <v>186000</v>
      </c>
    </row>
    <row r="7" spans="2:6" x14ac:dyDescent="0.25">
      <c r="B7" s="66">
        <v>43523</v>
      </c>
      <c r="C7" s="100" t="s">
        <v>96</v>
      </c>
      <c r="D7" s="67">
        <v>14</v>
      </c>
      <c r="E7" s="99">
        <v>15000</v>
      </c>
      <c r="F7" s="99">
        <f t="shared" si="0"/>
        <v>210000</v>
      </c>
    </row>
    <row r="8" spans="2:6" x14ac:dyDescent="0.25">
      <c r="B8" s="66">
        <v>43523</v>
      </c>
      <c r="C8" s="100" t="s">
        <v>97</v>
      </c>
      <c r="D8" s="67">
        <v>12</v>
      </c>
      <c r="E8" s="99">
        <v>30000</v>
      </c>
      <c r="F8" s="99">
        <f t="shared" si="0"/>
        <v>360000</v>
      </c>
    </row>
    <row r="9" spans="2:6" x14ac:dyDescent="0.25">
      <c r="B9" s="66">
        <v>43542</v>
      </c>
      <c r="C9" s="100" t="s">
        <v>98</v>
      </c>
      <c r="D9" s="67">
        <v>500</v>
      </c>
      <c r="E9" s="99">
        <v>800</v>
      </c>
      <c r="F9" s="99">
        <f t="shared" si="0"/>
        <v>400000</v>
      </c>
    </row>
    <row r="10" spans="2:6" x14ac:dyDescent="0.25">
      <c r="B10" s="66">
        <v>43553</v>
      </c>
      <c r="C10" s="100" t="s">
        <v>99</v>
      </c>
      <c r="D10" s="67">
        <v>1</v>
      </c>
      <c r="E10" s="99">
        <v>170000</v>
      </c>
      <c r="F10" s="99">
        <f t="shared" si="0"/>
        <v>170000</v>
      </c>
    </row>
    <row r="11" spans="2:6" x14ac:dyDescent="0.25">
      <c r="B11" s="66">
        <v>43553</v>
      </c>
      <c r="C11" s="100" t="s">
        <v>100</v>
      </c>
      <c r="D11" s="67">
        <v>80</v>
      </c>
      <c r="E11" s="99">
        <v>4500</v>
      </c>
      <c r="F11" s="99">
        <f t="shared" si="0"/>
        <v>360000</v>
      </c>
    </row>
    <row r="12" spans="2:6" x14ac:dyDescent="0.25">
      <c r="B12" s="66"/>
      <c r="C12" s="100"/>
      <c r="D12" s="67"/>
      <c r="E12" s="99"/>
      <c r="F12" s="99">
        <f t="shared" si="0"/>
        <v>0</v>
      </c>
    </row>
    <row r="13" spans="2:6" x14ac:dyDescent="0.25">
      <c r="B13" s="66"/>
      <c r="C13" s="100"/>
      <c r="D13" s="67"/>
      <c r="E13" s="99"/>
      <c r="F13" s="99">
        <f t="shared" si="0"/>
        <v>0</v>
      </c>
    </row>
    <row r="14" spans="2:6" x14ac:dyDescent="0.25">
      <c r="B14" s="66"/>
      <c r="C14" s="100"/>
      <c r="D14" s="67"/>
      <c r="E14" s="99"/>
      <c r="F14" s="99">
        <f t="shared" si="0"/>
        <v>0</v>
      </c>
    </row>
    <row r="15" spans="2:6" x14ac:dyDescent="0.25">
      <c r="B15" s="66"/>
      <c r="C15" s="100"/>
      <c r="D15" s="67"/>
      <c r="E15" s="99"/>
      <c r="F15" s="99">
        <f t="shared" si="0"/>
        <v>0</v>
      </c>
    </row>
    <row r="16" spans="2:6" x14ac:dyDescent="0.25">
      <c r="B16" s="66"/>
      <c r="C16" s="100"/>
      <c r="D16" s="67"/>
      <c r="E16" s="99"/>
      <c r="F16" s="99">
        <f t="shared" si="0"/>
        <v>0</v>
      </c>
    </row>
    <row r="17" spans="2:6" x14ac:dyDescent="0.25">
      <c r="B17" s="66"/>
      <c r="C17" s="100"/>
      <c r="D17" s="67"/>
      <c r="E17" s="99"/>
      <c r="F17" s="99">
        <f t="shared" si="0"/>
        <v>0</v>
      </c>
    </row>
    <row r="18" spans="2:6" x14ac:dyDescent="0.25">
      <c r="B18" s="66"/>
      <c r="C18" s="100"/>
      <c r="D18" s="67"/>
      <c r="E18" s="99"/>
      <c r="F18" s="99">
        <f t="shared" si="0"/>
        <v>0</v>
      </c>
    </row>
    <row r="19" spans="2:6" x14ac:dyDescent="0.25">
      <c r="B19" s="66"/>
      <c r="C19" s="100"/>
      <c r="D19" s="67"/>
      <c r="E19" s="99"/>
      <c r="F19" s="99">
        <f t="shared" si="0"/>
        <v>0</v>
      </c>
    </row>
    <row r="20" spans="2:6" x14ac:dyDescent="0.25">
      <c r="B20" s="66"/>
      <c r="C20" s="100"/>
      <c r="D20" s="67"/>
      <c r="E20" s="99"/>
      <c r="F20" s="99">
        <f t="shared" si="0"/>
        <v>0</v>
      </c>
    </row>
    <row r="21" spans="2:6" x14ac:dyDescent="0.25">
      <c r="B21" s="66"/>
      <c r="C21" s="100"/>
      <c r="D21" s="67"/>
      <c r="E21" s="99"/>
      <c r="F21" s="99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Fotocopias 2019</vt:lpstr>
      <vt:lpstr>contradores 3er piso</vt:lpstr>
      <vt:lpstr>Contadores</vt:lpstr>
      <vt:lpstr>Municipios</vt:lpstr>
      <vt:lpstr>presupuesto</vt:lpstr>
      <vt:lpstr>oferta economica</vt:lpstr>
      <vt:lpstr>Extra </vt:lpstr>
      <vt:lpstr>presupuesto!Área_de_impresión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Marcela Romero Vargas</dc:creator>
  <cp:lastModifiedBy>Monica Viviana Gaitan Sanchez</cp:lastModifiedBy>
  <cp:lastPrinted>2020-01-21T22:01:51Z</cp:lastPrinted>
  <dcterms:created xsi:type="dcterms:W3CDTF">2016-08-12T20:44:53Z</dcterms:created>
  <dcterms:modified xsi:type="dcterms:W3CDTF">2020-01-22T22:19:20Z</dcterms:modified>
</cp:coreProperties>
</file>