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ASUS\Desktop\"/>
    </mc:Choice>
  </mc:AlternateContent>
  <xr:revisionPtr revIDLastSave="0" documentId="8_{47BF6B2F-DC11-493A-83E3-9569F0EAA746}" xr6:coauthVersionLast="47" xr6:coauthVersionMax="47" xr10:uidLastSave="{00000000-0000-0000-0000-000000000000}"/>
  <bookViews>
    <workbookView xWindow="-120" yWindow="-120" windowWidth="20730" windowHeight="11040" activeTab="5" xr2:uid="{00000000-000D-0000-FFFF-FFFF00000000}"/>
  </bookViews>
  <sheets>
    <sheet name="GRUPO 1" sheetId="6" r:id="rId1"/>
    <sheet name="GRUPO 2" sheetId="7" r:id="rId2"/>
    <sheet name="GRUPO 3" sheetId="8" r:id="rId3"/>
    <sheet name="GRUPO 4" sheetId="9" r:id="rId4"/>
    <sheet name="RESUMEN" sheetId="3" r:id="rId5"/>
    <sheet name="ESTUDIO DE MERCADO" sheetId="5" r:id="rId6"/>
    <sheet name="Hoja1 (2)" sheetId="10" state="hidden" r:id="rId7"/>
  </sheets>
  <definedNames>
    <definedName name="_xlnm.Print_Area" localSheetId="4">RESUMEN!$B$1:$G$16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6" i="6" l="1"/>
  <c r="E13" i="5"/>
  <c r="S7" i="5"/>
  <c r="S8" i="5"/>
  <c r="S9" i="5"/>
  <c r="S10" i="5"/>
  <c r="S11" i="5"/>
  <c r="S12" i="5"/>
  <c r="S6" i="5"/>
  <c r="R7" i="5"/>
  <c r="R13" i="5" s="1"/>
  <c r="R8" i="5"/>
  <c r="R9" i="5"/>
  <c r="R10" i="5"/>
  <c r="R11" i="5"/>
  <c r="R12" i="5"/>
  <c r="R6" i="5"/>
  <c r="L6" i="9"/>
  <c r="H6" i="9"/>
  <c r="K6" i="9" s="1"/>
  <c r="F7" i="3"/>
  <c r="F6" i="3"/>
  <c r="F5" i="3"/>
  <c r="P11" i="9"/>
  <c r="P10" i="8"/>
  <c r="G16" i="8"/>
  <c r="P7" i="8"/>
  <c r="P8" i="8"/>
  <c r="N8" i="8"/>
  <c r="N13" i="8" s="1"/>
  <c r="N11" i="8"/>
  <c r="Q9" i="6"/>
  <c r="O8" i="6"/>
  <c r="O13" i="6" s="1"/>
  <c r="H16" i="6" s="1"/>
  <c r="Q6" i="6"/>
  <c r="O10" i="6"/>
  <c r="Q7" i="6"/>
  <c r="Q8" i="6"/>
  <c r="Q10" i="6"/>
  <c r="Q11" i="6"/>
  <c r="Q12" i="6"/>
  <c r="O7" i="6"/>
  <c r="O9" i="6"/>
  <c r="O11" i="6"/>
  <c r="O12" i="6"/>
  <c r="O6" i="6"/>
  <c r="Q14" i="6"/>
  <c r="H17" i="7"/>
  <c r="H16" i="7"/>
  <c r="Q10" i="7"/>
  <c r="Q6" i="7"/>
  <c r="Q7" i="7"/>
  <c r="Q8" i="7"/>
  <c r="Q9" i="7"/>
  <c r="Q11" i="7"/>
  <c r="Q12" i="7"/>
  <c r="O13" i="7"/>
  <c r="O7" i="7"/>
  <c r="O8" i="7"/>
  <c r="O9" i="7"/>
  <c r="O10" i="7"/>
  <c r="O11" i="7"/>
  <c r="O12" i="7"/>
  <c r="O6" i="7"/>
  <c r="P11" i="8"/>
  <c r="P12" i="8"/>
  <c r="O13" i="8"/>
  <c r="N6" i="8"/>
  <c r="M6" i="8"/>
  <c r="O6" i="8"/>
  <c r="L13" i="8"/>
  <c r="N12" i="8"/>
  <c r="M13" i="8"/>
  <c r="P9" i="8"/>
  <c r="P6" i="8"/>
  <c r="N7" i="8"/>
  <c r="N9" i="8"/>
  <c r="N10" i="8"/>
  <c r="P7" i="9"/>
  <c r="P8" i="9"/>
  <c r="P9" i="9"/>
  <c r="P10" i="9"/>
  <c r="P12" i="9"/>
  <c r="N7" i="9"/>
  <c r="N8" i="9"/>
  <c r="N9" i="9"/>
  <c r="N10" i="9"/>
  <c r="N11" i="9"/>
  <c r="N12" i="9"/>
  <c r="L6" i="6"/>
  <c r="M6" i="6" s="1"/>
  <c r="P14" i="6"/>
  <c r="N14" i="6"/>
  <c r="L10" i="9"/>
  <c r="L11" i="9"/>
  <c r="L12" i="9"/>
  <c r="L11" i="8"/>
  <c r="M8" i="7"/>
  <c r="M12" i="7"/>
  <c r="M12" i="6"/>
  <c r="L6" i="7"/>
  <c r="M6" i="7" s="1"/>
  <c r="H13" i="10"/>
  <c r="G13" i="10"/>
  <c r="F13" i="10"/>
  <c r="E13" i="10"/>
  <c r="N12" i="10"/>
  <c r="M12" i="10"/>
  <c r="I12" i="10"/>
  <c r="L12" i="10" s="1"/>
  <c r="N11" i="10"/>
  <c r="M11" i="10"/>
  <c r="L11" i="10"/>
  <c r="K11" i="10"/>
  <c r="O11" i="10" s="1"/>
  <c r="I11" i="10"/>
  <c r="I10" i="10"/>
  <c r="N10" i="10" s="1"/>
  <c r="I9" i="10"/>
  <c r="N9" i="10" s="1"/>
  <c r="N8" i="10"/>
  <c r="M8" i="10"/>
  <c r="I8" i="10"/>
  <c r="L8" i="10" s="1"/>
  <c r="N7" i="10"/>
  <c r="M7" i="10"/>
  <c r="L7" i="10"/>
  <c r="K7" i="10"/>
  <c r="O7" i="10" s="1"/>
  <c r="I7" i="10"/>
  <c r="I6" i="10"/>
  <c r="I13" i="10" s="1"/>
  <c r="H18" i="7"/>
  <c r="G13" i="9"/>
  <c r="F13" i="9"/>
  <c r="E13" i="9"/>
  <c r="D13" i="9"/>
  <c r="H12" i="9"/>
  <c r="K12" i="9" s="1"/>
  <c r="H11" i="9"/>
  <c r="K11" i="9" s="1"/>
  <c r="H10" i="9"/>
  <c r="K10" i="9" s="1"/>
  <c r="H9" i="9"/>
  <c r="K9" i="9" s="1"/>
  <c r="L9" i="9" s="1"/>
  <c r="H8" i="9"/>
  <c r="K8" i="9" s="1"/>
  <c r="L8" i="9" s="1"/>
  <c r="H7" i="9"/>
  <c r="K7" i="9" s="1"/>
  <c r="L7" i="9" s="1"/>
  <c r="G13" i="8"/>
  <c r="F13" i="8"/>
  <c r="E13" i="8"/>
  <c r="D13" i="8"/>
  <c r="H12" i="8"/>
  <c r="K12" i="8" s="1"/>
  <c r="L12" i="8" s="1"/>
  <c r="H11" i="8"/>
  <c r="K11" i="8" s="1"/>
  <c r="H10" i="8"/>
  <c r="K10" i="8" s="1"/>
  <c r="L10" i="8" s="1"/>
  <c r="H9" i="8"/>
  <c r="K9" i="8" s="1"/>
  <c r="L9" i="8" s="1"/>
  <c r="H8" i="8"/>
  <c r="K8" i="8" s="1"/>
  <c r="L8" i="8" s="1"/>
  <c r="H7" i="8"/>
  <c r="K7" i="8" s="1"/>
  <c r="L7" i="8" s="1"/>
  <c r="H6" i="8"/>
  <c r="K6" i="8" s="1"/>
  <c r="L6" i="8" s="1"/>
  <c r="H13" i="7"/>
  <c r="G13" i="7"/>
  <c r="F13" i="7"/>
  <c r="E13" i="7"/>
  <c r="I12" i="7"/>
  <c r="L12" i="7" s="1"/>
  <c r="I11" i="7"/>
  <c r="L11" i="7" s="1"/>
  <c r="M11" i="7" s="1"/>
  <c r="I10" i="7"/>
  <c r="L10" i="7" s="1"/>
  <c r="M10" i="7" s="1"/>
  <c r="I9" i="7"/>
  <c r="L9" i="7" s="1"/>
  <c r="M9" i="7" s="1"/>
  <c r="I8" i="7"/>
  <c r="L8" i="7" s="1"/>
  <c r="I7" i="7"/>
  <c r="L7" i="7" s="1"/>
  <c r="M7" i="7" s="1"/>
  <c r="I6" i="7"/>
  <c r="N10" i="6"/>
  <c r="H13" i="6"/>
  <c r="G13" i="6"/>
  <c r="F13" i="6"/>
  <c r="E13" i="6"/>
  <c r="I12" i="6"/>
  <c r="L12" i="6" s="1"/>
  <c r="N12" i="6" s="1"/>
  <c r="I11" i="6"/>
  <c r="I10" i="6"/>
  <c r="L10" i="6" s="1"/>
  <c r="P10" i="6" s="1"/>
  <c r="I9" i="6"/>
  <c r="I8" i="6"/>
  <c r="L8" i="6" s="1"/>
  <c r="M8" i="6" s="1"/>
  <c r="I7" i="6"/>
  <c r="L7" i="6" s="1"/>
  <c r="M7" i="6" s="1"/>
  <c r="I6" i="6"/>
  <c r="I6" i="5"/>
  <c r="M6" i="5" s="1"/>
  <c r="N6" i="5" s="1"/>
  <c r="K6" i="5" l="1"/>
  <c r="L6" i="5" s="1"/>
  <c r="P13" i="8"/>
  <c r="G17" i="8" s="1"/>
  <c r="Q13" i="6"/>
  <c r="H17" i="6" s="1"/>
  <c r="H18" i="6" s="1"/>
  <c r="M10" i="6"/>
  <c r="Q13" i="7"/>
  <c r="M13" i="7"/>
  <c r="L13" i="9"/>
  <c r="F8" i="3" s="1"/>
  <c r="G8" i="3" s="1"/>
  <c r="K6" i="10"/>
  <c r="K10" i="10"/>
  <c r="L6" i="10"/>
  <c r="L10" i="10"/>
  <c r="M6" i="10"/>
  <c r="K9" i="10"/>
  <c r="O9" i="10" s="1"/>
  <c r="M10" i="10"/>
  <c r="N6" i="10"/>
  <c r="N13" i="10" s="1"/>
  <c r="L9" i="10"/>
  <c r="K8" i="10"/>
  <c r="O8" i="10" s="1"/>
  <c r="M9" i="10"/>
  <c r="K12" i="10"/>
  <c r="O12" i="10" s="1"/>
  <c r="N6" i="6"/>
  <c r="P6" i="6"/>
  <c r="N7" i="6"/>
  <c r="P7" i="6"/>
  <c r="P8" i="6"/>
  <c r="N8" i="6"/>
  <c r="P12" i="6"/>
  <c r="I13" i="7"/>
  <c r="O9" i="9"/>
  <c r="M9" i="9"/>
  <c r="O10" i="9"/>
  <c r="M10" i="9"/>
  <c r="M11" i="9"/>
  <c r="O11" i="9"/>
  <c r="O12" i="9"/>
  <c r="M12" i="9"/>
  <c r="O6" i="9"/>
  <c r="P6" i="9" s="1"/>
  <c r="P13" i="9" s="1"/>
  <c r="G17" i="9" s="1"/>
  <c r="M6" i="9"/>
  <c r="N6" i="9" s="1"/>
  <c r="N13" i="9" s="1"/>
  <c r="G16" i="9" s="1"/>
  <c r="G18" i="9" s="1"/>
  <c r="K13" i="9"/>
  <c r="M7" i="9"/>
  <c r="O7" i="9"/>
  <c r="O8" i="9"/>
  <c r="M8" i="9"/>
  <c r="H13" i="9"/>
  <c r="O8" i="8"/>
  <c r="M8" i="8"/>
  <c r="O9" i="8"/>
  <c r="M9" i="8"/>
  <c r="O10" i="8"/>
  <c r="M10" i="8"/>
  <c r="O11" i="8"/>
  <c r="M11" i="8"/>
  <c r="O12" i="8"/>
  <c r="M12" i="8"/>
  <c r="K13" i="8"/>
  <c r="O7" i="8"/>
  <c r="M7" i="8"/>
  <c r="H13" i="8"/>
  <c r="P9" i="7"/>
  <c r="N9" i="7"/>
  <c r="P10" i="7"/>
  <c r="N10" i="7"/>
  <c r="P11" i="7"/>
  <c r="N11" i="7"/>
  <c r="P12" i="7"/>
  <c r="N12" i="7"/>
  <c r="P7" i="7"/>
  <c r="N7" i="7"/>
  <c r="P8" i="7"/>
  <c r="N8" i="7"/>
  <c r="L11" i="6"/>
  <c r="M11" i="6" s="1"/>
  <c r="L9" i="6"/>
  <c r="M9" i="6" s="1"/>
  <c r="M13" i="6" s="1"/>
  <c r="O6" i="5"/>
  <c r="P6" i="5" s="1"/>
  <c r="Q6" i="5"/>
  <c r="I13" i="6"/>
  <c r="H13" i="5"/>
  <c r="G13" i="5"/>
  <c r="F13" i="5"/>
  <c r="I12" i="5"/>
  <c r="K12" i="5" s="1"/>
  <c r="L12" i="5" s="1"/>
  <c r="I11" i="5"/>
  <c r="O11" i="5" s="1"/>
  <c r="P11" i="5" s="1"/>
  <c r="I10" i="5"/>
  <c r="Q10" i="5" s="1"/>
  <c r="I9" i="5"/>
  <c r="Q9" i="5" s="1"/>
  <c r="I8" i="5"/>
  <c r="M8" i="5" s="1"/>
  <c r="N8" i="5" s="1"/>
  <c r="I7" i="5"/>
  <c r="M7" i="5" s="1"/>
  <c r="N7" i="5" s="1"/>
  <c r="K7" i="5" l="1"/>
  <c r="L7" i="5" s="1"/>
  <c r="M10" i="5"/>
  <c r="N10" i="5" s="1"/>
  <c r="K8" i="5"/>
  <c r="L8" i="5" s="1"/>
  <c r="K10" i="5"/>
  <c r="L10" i="5" s="1"/>
  <c r="M9" i="5"/>
  <c r="N9" i="5" s="1"/>
  <c r="N13" i="5" s="1"/>
  <c r="G18" i="8"/>
  <c r="L13" i="6"/>
  <c r="K13" i="10"/>
  <c r="O6" i="10"/>
  <c r="O13" i="10" s="1"/>
  <c r="M13" i="10"/>
  <c r="L13" i="10"/>
  <c r="O10" i="10"/>
  <c r="N9" i="6"/>
  <c r="N13" i="6" s="1"/>
  <c r="P9" i="6"/>
  <c r="N11" i="6"/>
  <c r="P11" i="6"/>
  <c r="M13" i="9"/>
  <c r="O13" i="9"/>
  <c r="P6" i="7"/>
  <c r="P13" i="7" s="1"/>
  <c r="N6" i="7"/>
  <c r="N13" i="7" s="1"/>
  <c r="L13" i="7"/>
  <c r="M12" i="5"/>
  <c r="N12" i="5" s="1"/>
  <c r="Q11" i="5"/>
  <c r="Q12" i="5"/>
  <c r="M11" i="5"/>
  <c r="N11" i="5" s="1"/>
  <c r="Q7" i="5"/>
  <c r="Q8" i="5"/>
  <c r="K9" i="5"/>
  <c r="L9" i="5" s="1"/>
  <c r="K11" i="5"/>
  <c r="O7" i="5"/>
  <c r="P7" i="5" s="1"/>
  <c r="P13" i="5" s="1"/>
  <c r="O8" i="5"/>
  <c r="P8" i="5" s="1"/>
  <c r="O9" i="5"/>
  <c r="P9" i="5" s="1"/>
  <c r="O12" i="5"/>
  <c r="P12" i="5" s="1"/>
  <c r="O10" i="5"/>
  <c r="P10" i="5" s="1"/>
  <c r="I13" i="5"/>
  <c r="E5" i="3" s="1"/>
  <c r="K13" i="5" l="1"/>
  <c r="L11" i="5"/>
  <c r="L13" i="5" s="1"/>
  <c r="M13" i="5"/>
  <c r="P13" i="6"/>
  <c r="E8" i="3"/>
  <c r="E6" i="3"/>
  <c r="E7" i="3"/>
  <c r="Q13" i="5"/>
  <c r="O13" i="5"/>
  <c r="G6" i="3" l="1"/>
  <c r="H6" i="3"/>
  <c r="H8" i="3"/>
  <c r="G7" i="3"/>
  <c r="H7" i="3"/>
  <c r="F9" i="3"/>
  <c r="S13" i="5"/>
  <c r="H9" i="3" l="1"/>
  <c r="G9" i="3"/>
  <c r="H5" i="3"/>
  <c r="G5" i="3"/>
</calcChain>
</file>

<file path=xl/sharedStrings.xml><?xml version="1.0" encoding="utf-8"?>
<sst xmlns="http://schemas.openxmlformats.org/spreadsheetml/2006/main" count="263" uniqueCount="64">
  <si>
    <t>VALOR UNITARIO</t>
  </si>
  <si>
    <t xml:space="preserve">          DAVID E. TAPIA NARVAEZ</t>
  </si>
  <si>
    <t xml:space="preserve">          Asesor Financiero Externo.</t>
  </si>
  <si>
    <t>VALOR TOTAL</t>
  </si>
  <si>
    <t>DESCRIPCIÓN</t>
  </si>
  <si>
    <t>SECRETARIA DE PARTICIPACION Y DESARROLLO SOCIAL                                                                                                                                          ESTUDIO DE MERCADO</t>
  </si>
  <si>
    <r>
      <t>OBJETO:</t>
    </r>
    <r>
      <rPr>
        <b/>
        <sz val="9"/>
        <color rgb="FF000000"/>
        <rFont val="Arial Narrow"/>
        <family val="2"/>
      </rPr>
      <t xml:space="preserve"> “AUNAR ESFUERZOS TÉCNICOS, ADMINISTRATIVOS Y FINANCIEROS PARA GENERAR ASISTENCIA INTEGRAL A LOS ADULTOS MAYORES EN CONDICIÓN DE VULNERABILIDAD DEL DISTRITO DE CARTAGENA, EN EL MARCO DEL PROYECTO DE INVERSIÓN DENOMINADO "APOYO PARA LA ATENCIÓN INTEGRAL AL ADULTO MAYOR EN ESTADO DE ABANDONO MALTRATO Y SITUACIÓN DE CALLE EN EL DISTRITO DE CARTAGENA DE INDIAS", DE LA SECRETARIA DE PARTICIPACIÓN Y DESARROLLO SOCIAL”.</t>
    </r>
  </si>
  <si>
    <t>GRUPO</t>
  </si>
  <si>
    <t>CANTIDAD MAXIMA DE CUPOS</t>
  </si>
  <si>
    <t>PROMEDIO MENSUAL</t>
  </si>
  <si>
    <t>TIEMPO EN MESES</t>
  </si>
  <si>
    <t>ALOJAMIENTO</t>
  </si>
  <si>
    <t>RECURSOS HUMANOS</t>
  </si>
  <si>
    <t>ELEMENTOS DE ASEO PERSONAL</t>
  </si>
  <si>
    <t>ALIMENTACIÓN</t>
  </si>
  <si>
    <t>VESTIARIO Y CALZADO</t>
  </si>
  <si>
    <t>GASTOS DE ADMINISTRACIÓN</t>
  </si>
  <si>
    <t>TRANSPORTE ADULTOS MAYOR.</t>
  </si>
  <si>
    <t>ITEMS</t>
  </si>
  <si>
    <t>FUND. DONES DE MISERICORDIA.</t>
  </si>
  <si>
    <t xml:space="preserve">FUNDACIÓN MIL AÑOS DORADOS            </t>
  </si>
  <si>
    <t xml:space="preserve">REFUGIO LA MILAGROSA           </t>
  </si>
  <si>
    <t xml:space="preserve">HOGAR   SAN PEDRO CLAVER      </t>
  </si>
  <si>
    <t xml:space="preserve">HOGAR   SAN PEDRO CLAVER    </t>
  </si>
  <si>
    <t>GRUPO 3 = 20 CUPOS</t>
  </si>
  <si>
    <t xml:space="preserve">REFUGIO LA MILAGROSA      </t>
  </si>
  <si>
    <t>GRUPO 1 = 40 CUPOS</t>
  </si>
  <si>
    <t>TIEMPO MESES</t>
  </si>
  <si>
    <t>VALORES TOTALES</t>
  </si>
  <si>
    <t>TOTALES</t>
  </si>
  <si>
    <t>*</t>
  </si>
  <si>
    <t xml:space="preserve">El Distrito cuenta con un presupuesto de $1.499.992,398 para respaldar el 80% del valor del Convenio. </t>
  </si>
  <si>
    <t>GRUPO 2 = 34 CUPOS</t>
  </si>
  <si>
    <t>GRUPO 4 = 26 CUPOS</t>
  </si>
  <si>
    <t>El valor promedio por dia de un adulto mayor queda en $111,095,05 y el mes en $3,332,852.</t>
  </si>
  <si>
    <t>APORTE DEL DISTRITO 80%</t>
  </si>
  <si>
    <t>APORTE DE LA ESAL 20%</t>
  </si>
  <si>
    <t>Se proyecta la atención de 120 adultos durante 4,5 meses.</t>
  </si>
  <si>
    <t>VALOR POR CONVENIO</t>
  </si>
  <si>
    <t xml:space="preserve">        25 enero de 2024</t>
  </si>
  <si>
    <t xml:space="preserve">         25 enero de 2024</t>
  </si>
  <si>
    <t>No ATENCIÓN AL MES</t>
  </si>
  <si>
    <t>80% APORTE DEL DISTRITO</t>
  </si>
  <si>
    <t>GRUPO 1</t>
  </si>
  <si>
    <t xml:space="preserve">        29 enero de 2024</t>
  </si>
  <si>
    <t>GRUPO 2</t>
  </si>
  <si>
    <t>GRUPO 3</t>
  </si>
  <si>
    <t>GRUPO 4</t>
  </si>
  <si>
    <t>20% APORTE DE LA ESAL</t>
  </si>
  <si>
    <t>VALOR TOTAL GRUPO No. 1</t>
  </si>
  <si>
    <t>Aporte del Distrito hasta 80%</t>
  </si>
  <si>
    <t>Aporte mínimo de la ESAL 20%</t>
  </si>
  <si>
    <t>VALOR TOTAL GRUPO No 2</t>
  </si>
  <si>
    <t>Valor Total Proyectado para el Convenio Grupo No. 2</t>
  </si>
  <si>
    <t>Valor Total Proyectado para el Convenio Grupo No. 1</t>
  </si>
  <si>
    <t>VALOR TOTAL GRUPO No. 3</t>
  </si>
  <si>
    <t>Valor Total Proyectado para el Convenio Grupo No. 3</t>
  </si>
  <si>
    <t>VALOR TOTAL GRUPO No. 4</t>
  </si>
  <si>
    <t>Valor Total Proyectado para el Convenio Grupo No. 4</t>
  </si>
  <si>
    <t xml:space="preserve">FUNDACIÓN MIS AÑOS DORADOS            </t>
  </si>
  <si>
    <t>H18:H21G18:H21</t>
  </si>
  <si>
    <t>SECRETARIA DE PARTICIPACION Y DESARROLLO SOCIAL                                                                                                                                                                 ESTUDIO DE MERCADO</t>
  </si>
  <si>
    <t>SECRETARIA DE PARTICIPACION Y DESARROLLO SOCIAL                                                                                                                                                                                                     ESTUDIO DE MERCADO</t>
  </si>
  <si>
    <t>El valor promedio por dia de un adulto mayor queda en $111,095,06 y el mes en $3,332,852.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</si>
</sst>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64" formatCode="#,##0.0000"/>
    <numFmt numFmtId="165" formatCode="#,##0.0"/>
    <numFmt numFmtId="166" formatCode="#,##0.000"/>
    <numFmt numFmtId="167" formatCode="#,##0.00000"/>
    <numFmt numFmtId="168" formatCode="_-* #,##0.000_-;\-* #,##0.000_-;_-* &quot;-&quot;??_-;_-@_-"/>
    <numFmt numFmtId="169" formatCode="_-* #,##0.000_-;\-* #,##0.000_-;_-* &quot;-&quot;???_-;_-@_-"/>
    <numFmt numFmtId="170" formatCode="_-* #,##0.0000_-;\-* #,##0.0000_-;_-* &quot;-&quot;???_-;_-@_-"/>
  </numFmts>
  <fonts count="21" x14ac:knownFonts="1">
    <font>
      <sz val="11"/>
      <color theme="1"/>
      <name val="Calibri"/>
      <family val="2"/>
      <scheme val="minor"/>
    </font>
    <font>
      <sz val="11"/>
      <color theme="1"/>
      <name val="Arial"/>
      <family val="2"/>
    </font>
    <font>
      <sz val="8"/>
      <color theme="1"/>
      <name val="Arial"/>
      <family val="2"/>
    </font>
    <font>
      <sz val="11"/>
      <color theme="1"/>
      <name val="Calibri"/>
      <family val="2"/>
      <scheme val="minor"/>
    </font>
    <font>
      <b/>
      <sz val="9"/>
      <color rgb="FF000000"/>
      <name val="Arial"/>
      <family val="2"/>
    </font>
    <font>
      <sz val="9"/>
      <color theme="1"/>
      <name val="Arial"/>
      <family val="2"/>
    </font>
    <font>
      <b/>
      <sz val="9"/>
      <color theme="1"/>
      <name val="Arial"/>
      <family val="2"/>
    </font>
    <font>
      <b/>
      <sz val="12"/>
      <color theme="1"/>
      <name val="Arial Narrow"/>
      <family val="2"/>
    </font>
    <font>
      <b/>
      <sz val="9"/>
      <color rgb="FF000000"/>
      <name val="Arial Narrow"/>
      <family val="2"/>
    </font>
    <font>
      <sz val="10"/>
      <color theme="1"/>
      <name val="Arial Narrow"/>
      <family val="2"/>
    </font>
    <font>
      <sz val="9"/>
      <color theme="1"/>
      <name val="Arial Narrow"/>
      <family val="2"/>
    </font>
    <font>
      <b/>
      <sz val="10"/>
      <color theme="1"/>
      <name val="Arial Narrow"/>
      <family val="2"/>
    </font>
    <font>
      <b/>
      <sz val="14"/>
      <color theme="1"/>
      <name val="Arial"/>
      <family val="2"/>
    </font>
    <font>
      <b/>
      <sz val="8"/>
      <color rgb="FF000000"/>
      <name val="Arial Narrow"/>
      <family val="2"/>
    </font>
    <font>
      <sz val="8"/>
      <color theme="1"/>
      <name val="Arial Narrow"/>
      <family val="2"/>
    </font>
    <font>
      <sz val="8"/>
      <color rgb="FF000000"/>
      <name val="Arial Narrow"/>
      <family val="2"/>
    </font>
    <font>
      <b/>
      <sz val="8"/>
      <color theme="1"/>
      <name val="Arial Narrow"/>
      <family val="2"/>
    </font>
    <font>
      <b/>
      <sz val="11"/>
      <color theme="1"/>
      <name val="Arial Narrow"/>
      <family val="2"/>
    </font>
    <font>
      <b/>
      <sz val="10"/>
      <color rgb="FF000000"/>
      <name val="Arial Narrow"/>
      <family val="2"/>
    </font>
    <font>
      <sz val="10"/>
      <color rgb="FF000000"/>
      <name val="Arial Narrow"/>
      <family val="2"/>
    </font>
    <font>
      <b/>
      <sz val="10"/>
      <color rgb="FF000000"/>
      <name val="Arial"/>
      <family val="2"/>
    </font>
  </fonts>
  <fills count="3">
    <fill>
      <patternFill patternType="none"/>
    </fill>
    <fill>
      <patternFill patternType="gray125"/>
    </fill>
    <fill>
      <patternFill patternType="solid">
        <fgColor theme="4"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s>
  <cellStyleXfs count="4">
    <xf numFmtId="0" fontId="0" fillId="0" borderId="0"/>
    <xf numFmtId="43" fontId="3" fillId="0" borderId="0" applyFont="0" applyFill="0" applyBorder="0" applyAlignment="0" applyProtection="0"/>
    <xf numFmtId="41" fontId="3" fillId="0" borderId="0" applyFont="0" applyFill="0" applyBorder="0" applyAlignment="0" applyProtection="0"/>
    <xf numFmtId="43" fontId="3" fillId="0" borderId="0" applyFont="0" applyFill="0" applyBorder="0" applyAlignment="0" applyProtection="0"/>
  </cellStyleXfs>
  <cellXfs count="118">
    <xf numFmtId="0" fontId="0" fillId="0" borderId="0" xfId="0"/>
    <xf numFmtId="0" fontId="1" fillId="0" borderId="0" xfId="0" applyFont="1"/>
    <xf numFmtId="0" fontId="2" fillId="0" borderId="0" xfId="0" applyFont="1" applyAlignment="1">
      <alignment vertical="center"/>
    </xf>
    <xf numFmtId="0" fontId="6" fillId="0" borderId="0" xfId="0" applyFont="1" applyAlignment="1">
      <alignment horizontal="left" vertical="center"/>
    </xf>
    <xf numFmtId="0" fontId="5" fillId="0" borderId="0" xfId="0" applyFont="1" applyAlignment="1">
      <alignment vertical="center"/>
    </xf>
    <xf numFmtId="0" fontId="4" fillId="0" borderId="0" xfId="0" applyFont="1" applyAlignment="1">
      <alignment horizontal="center" vertical="center" wrapText="1"/>
    </xf>
    <xf numFmtId="4" fontId="4" fillId="0" borderId="0" xfId="0" applyNumberFormat="1" applyFont="1" applyAlignment="1">
      <alignment horizontal="right" vertical="center" wrapText="1"/>
    </xf>
    <xf numFmtId="0" fontId="2" fillId="0" borderId="0" xfId="0" applyFont="1"/>
    <xf numFmtId="0" fontId="6" fillId="0" borderId="0" xfId="0" applyFont="1" applyAlignment="1">
      <alignment horizontal="center" vertical="center"/>
    </xf>
    <xf numFmtId="0" fontId="6" fillId="0" borderId="0" xfId="0" applyFont="1" applyAlignment="1">
      <alignment horizontal="center" wrapText="1"/>
    </xf>
    <xf numFmtId="0" fontId="5" fillId="0" borderId="0" xfId="0" applyFont="1"/>
    <xf numFmtId="4" fontId="5" fillId="0" borderId="0" xfId="0" applyNumberFormat="1" applyFont="1"/>
    <xf numFmtId="0" fontId="9" fillId="0" borderId="0" xfId="0" applyFont="1"/>
    <xf numFmtId="0" fontId="12" fillId="0" borderId="0" xfId="0" applyFont="1" applyAlignment="1">
      <alignment horizontal="center" vertical="center"/>
    </xf>
    <xf numFmtId="0" fontId="0" fillId="0" borderId="0" xfId="0" applyAlignment="1">
      <alignment vertical="center" wrapText="1"/>
    </xf>
    <xf numFmtId="0" fontId="16" fillId="0" borderId="0" xfId="0" applyFont="1" applyAlignment="1">
      <alignment horizontal="center" vertical="center"/>
    </xf>
    <xf numFmtId="0" fontId="16" fillId="0" borderId="0" xfId="0" applyFont="1" applyAlignment="1">
      <alignment horizontal="left" vertical="center"/>
    </xf>
    <xf numFmtId="0" fontId="16" fillId="0" borderId="0" xfId="0" applyFont="1" applyAlignment="1">
      <alignment horizontal="center" wrapText="1"/>
    </xf>
    <xf numFmtId="0" fontId="14" fillId="0" borderId="0" xfId="0" applyFont="1"/>
    <xf numFmtId="4" fontId="14" fillId="0" borderId="0" xfId="0" applyNumberFormat="1" applyFont="1"/>
    <xf numFmtId="0" fontId="13" fillId="0" borderId="0" xfId="0" applyFont="1" applyAlignment="1">
      <alignment horizontal="center" vertical="center" wrapText="1"/>
    </xf>
    <xf numFmtId="4" fontId="13" fillId="0" borderId="0" xfId="0" applyNumberFormat="1" applyFont="1" applyAlignment="1">
      <alignment horizontal="right" vertical="center" wrapText="1"/>
    </xf>
    <xf numFmtId="4" fontId="15" fillId="0" borderId="2" xfId="0" applyNumberFormat="1" applyFont="1" applyBorder="1" applyAlignment="1">
      <alignment horizontal="right" vertical="center" wrapText="1"/>
    </xf>
    <xf numFmtId="0" fontId="14" fillId="0" borderId="1" xfId="0" applyFont="1" applyBorder="1" applyAlignment="1">
      <alignment horizontal="center" vertical="center"/>
    </xf>
    <xf numFmtId="0" fontId="13" fillId="0" borderId="1" xfId="0" applyFont="1" applyBorder="1" applyAlignment="1">
      <alignment horizontal="center" vertical="center" wrapText="1"/>
    </xf>
    <xf numFmtId="0" fontId="14" fillId="0" borderId="2" xfId="0" applyFont="1" applyBorder="1" applyAlignment="1">
      <alignment horizontal="center" vertical="center"/>
    </xf>
    <xf numFmtId="0" fontId="16" fillId="0" borderId="1" xfId="0" applyFont="1" applyBorder="1" applyAlignment="1">
      <alignment horizontal="center" vertical="center" wrapText="1"/>
    </xf>
    <xf numFmtId="0" fontId="15" fillId="0" borderId="1" xfId="0" applyFont="1" applyBorder="1" applyAlignment="1">
      <alignment horizontal="center" vertical="center" wrapText="1"/>
    </xf>
    <xf numFmtId="4" fontId="13" fillId="0" borderId="8" xfId="0" applyNumberFormat="1" applyFont="1" applyBorder="1" applyAlignment="1">
      <alignment vertical="center" wrapText="1"/>
    </xf>
    <xf numFmtId="0" fontId="13" fillId="0" borderId="10" xfId="0" applyFont="1" applyBorder="1" applyAlignment="1">
      <alignment horizontal="center" vertical="center" wrapText="1"/>
    </xf>
    <xf numFmtId="1" fontId="13" fillId="0" borderId="8" xfId="0" applyNumberFormat="1" applyFont="1" applyBorder="1" applyAlignment="1">
      <alignment horizontal="center" vertical="center" wrapText="1"/>
    </xf>
    <xf numFmtId="0" fontId="13" fillId="0" borderId="3" xfId="0" applyFont="1" applyBorder="1" applyAlignment="1">
      <alignment horizontal="center" vertical="center" wrapText="1"/>
    </xf>
    <xf numFmtId="0" fontId="18" fillId="0" borderId="1" xfId="0" applyFont="1" applyBorder="1" applyAlignment="1">
      <alignment horizontal="center" vertical="center" wrapText="1"/>
    </xf>
    <xf numFmtId="0" fontId="9" fillId="0" borderId="1" xfId="0" applyFont="1" applyBorder="1" applyAlignment="1">
      <alignment horizontal="center" vertical="center"/>
    </xf>
    <xf numFmtId="0" fontId="19" fillId="0" borderId="1" xfId="0" applyFont="1" applyBorder="1" applyAlignment="1">
      <alignment horizontal="center" vertical="center" wrapText="1"/>
    </xf>
    <xf numFmtId="0" fontId="9" fillId="0" borderId="2" xfId="0" applyFont="1" applyBorder="1" applyAlignment="1">
      <alignment horizontal="center" vertical="center"/>
    </xf>
    <xf numFmtId="0" fontId="9" fillId="0" borderId="1" xfId="0" applyFont="1" applyBorder="1" applyAlignment="1">
      <alignment horizontal="center" vertical="center" wrapText="1"/>
    </xf>
    <xf numFmtId="0" fontId="7" fillId="0" borderId="0" xfId="0" applyFont="1" applyAlignment="1">
      <alignment horizontal="center" vertical="center"/>
    </xf>
    <xf numFmtId="0" fontId="11" fillId="0" borderId="0" xfId="0" applyFont="1" applyAlignment="1">
      <alignment horizontal="left" vertical="center"/>
    </xf>
    <xf numFmtId="4" fontId="15" fillId="0" borderId="2" xfId="0" applyNumberFormat="1" applyFont="1" applyBorder="1" applyAlignment="1">
      <alignment horizontal="center" vertical="center" wrapText="1"/>
    </xf>
    <xf numFmtId="0" fontId="20" fillId="0" borderId="0" xfId="0" applyFont="1" applyAlignment="1">
      <alignment horizontal="center" vertical="center" wrapText="1"/>
    </xf>
    <xf numFmtId="4" fontId="11" fillId="0" borderId="0" xfId="0" applyNumberFormat="1" applyFont="1"/>
    <xf numFmtId="3" fontId="13" fillId="0" borderId="8" xfId="0" applyNumberFormat="1" applyFont="1" applyBorder="1" applyAlignment="1">
      <alignment vertical="center" wrapText="1"/>
    </xf>
    <xf numFmtId="3" fontId="15" fillId="0" borderId="2" xfId="0" applyNumberFormat="1" applyFont="1" applyBorder="1" applyAlignment="1">
      <alignment horizontal="right" vertical="center" wrapText="1"/>
    </xf>
    <xf numFmtId="3" fontId="14" fillId="0" borderId="1" xfId="0" applyNumberFormat="1" applyFont="1" applyBorder="1"/>
    <xf numFmtId="3" fontId="18" fillId="0" borderId="1" xfId="0" applyNumberFormat="1" applyFont="1" applyBorder="1" applyAlignment="1">
      <alignment horizontal="right" vertical="center" wrapText="1"/>
    </xf>
    <xf numFmtId="3" fontId="19" fillId="0" borderId="2" xfId="0" applyNumberFormat="1" applyFont="1" applyBorder="1" applyAlignment="1">
      <alignment horizontal="right" vertical="center" wrapText="1"/>
    </xf>
    <xf numFmtId="3" fontId="14" fillId="0" borderId="1" xfId="0" applyNumberFormat="1" applyFont="1" applyBorder="1" applyAlignment="1">
      <alignment vertical="center" wrapText="1"/>
    </xf>
    <xf numFmtId="3" fontId="18" fillId="0" borderId="0" xfId="0" applyNumberFormat="1" applyFont="1" applyAlignment="1">
      <alignment horizontal="right" vertical="center" wrapText="1"/>
    </xf>
    <xf numFmtId="0" fontId="9" fillId="0" borderId="0" xfId="0" applyFont="1" applyAlignment="1">
      <alignment wrapText="1"/>
    </xf>
    <xf numFmtId="0" fontId="11" fillId="0" borderId="0" xfId="0" applyFont="1" applyAlignment="1">
      <alignment wrapText="1"/>
    </xf>
    <xf numFmtId="0" fontId="11" fillId="0" borderId="1" xfId="0" applyFont="1" applyBorder="1" applyAlignment="1">
      <alignment horizontal="center" wrapText="1"/>
    </xf>
    <xf numFmtId="164" fontId="4" fillId="0" borderId="0" xfId="0" applyNumberFormat="1" applyFont="1" applyAlignment="1">
      <alignment horizontal="right" vertical="center" wrapText="1"/>
    </xf>
    <xf numFmtId="3" fontId="15" fillId="0" borderId="2" xfId="0" applyNumberFormat="1" applyFont="1" applyBorder="1" applyAlignment="1">
      <alignment horizontal="center" vertical="center" wrapText="1"/>
    </xf>
    <xf numFmtId="3" fontId="0" fillId="0" borderId="0" xfId="0" applyNumberFormat="1"/>
    <xf numFmtId="3" fontId="15" fillId="2" borderId="2" xfId="0" applyNumberFormat="1" applyFont="1" applyFill="1" applyBorder="1" applyAlignment="1">
      <alignment vertical="center" wrapText="1"/>
    </xf>
    <xf numFmtId="3" fontId="13" fillId="2" borderId="8" xfId="0" applyNumberFormat="1" applyFont="1" applyFill="1" applyBorder="1" applyAlignment="1">
      <alignment vertical="center" wrapText="1"/>
    </xf>
    <xf numFmtId="3" fontId="15" fillId="2" borderId="2" xfId="0" applyNumberFormat="1" applyFont="1" applyFill="1" applyBorder="1" applyAlignment="1">
      <alignment horizontal="right" vertical="center" wrapText="1"/>
    </xf>
    <xf numFmtId="0" fontId="7" fillId="0" borderId="6" xfId="0" applyFont="1" applyBorder="1" applyAlignment="1">
      <alignment vertical="center" wrapText="1"/>
    </xf>
    <xf numFmtId="0" fontId="7" fillId="0" borderId="4" xfId="0" applyFont="1" applyBorder="1" applyAlignment="1">
      <alignment vertical="center" wrapText="1"/>
    </xf>
    <xf numFmtId="0" fontId="1" fillId="0" borderId="4" xfId="0" applyFont="1" applyBorder="1"/>
    <xf numFmtId="0" fontId="10" fillId="0" borderId="1" xfId="0" applyFont="1" applyBorder="1" applyAlignment="1">
      <alignment vertical="justify" wrapText="1"/>
    </xf>
    <xf numFmtId="0" fontId="7" fillId="0" borderId="4" xfId="0" applyFont="1" applyBorder="1" applyAlignment="1">
      <alignment horizontal="center" vertical="center" wrapText="1"/>
    </xf>
    <xf numFmtId="0" fontId="7" fillId="0" borderId="0" xfId="0" applyFont="1" applyAlignment="1">
      <alignment horizontal="center" vertical="center" wrapText="1"/>
    </xf>
    <xf numFmtId="165" fontId="18" fillId="0" borderId="2" xfId="0" applyNumberFormat="1" applyFont="1" applyBorder="1" applyAlignment="1">
      <alignment horizontal="right" vertical="center" wrapText="1"/>
    </xf>
    <xf numFmtId="165" fontId="13" fillId="0" borderId="8" xfId="0" applyNumberFormat="1" applyFont="1" applyBorder="1" applyAlignment="1">
      <alignment vertical="center" wrapText="1"/>
    </xf>
    <xf numFmtId="4" fontId="15" fillId="2" borderId="2" xfId="0" applyNumberFormat="1" applyFont="1" applyFill="1" applyBorder="1" applyAlignment="1">
      <alignment vertical="center" wrapText="1"/>
    </xf>
    <xf numFmtId="4" fontId="13" fillId="2" borderId="8" xfId="0" applyNumberFormat="1" applyFont="1" applyFill="1" applyBorder="1" applyAlignment="1">
      <alignment vertical="center" wrapText="1"/>
    </xf>
    <xf numFmtId="166" fontId="13" fillId="2" borderId="8" xfId="0" applyNumberFormat="1" applyFont="1" applyFill="1" applyBorder="1" applyAlignment="1">
      <alignment vertical="center" wrapText="1"/>
    </xf>
    <xf numFmtId="164" fontId="13" fillId="2" borderId="8" xfId="0" applyNumberFormat="1" applyFont="1" applyFill="1" applyBorder="1" applyAlignment="1">
      <alignment vertical="center" wrapText="1"/>
    </xf>
    <xf numFmtId="167" fontId="13" fillId="0" borderId="0" xfId="0" applyNumberFormat="1" applyFont="1" applyAlignment="1">
      <alignment horizontal="right" vertical="center" wrapText="1"/>
    </xf>
    <xf numFmtId="167" fontId="4" fillId="0" borderId="0" xfId="0" applyNumberFormat="1" applyFont="1" applyAlignment="1">
      <alignment horizontal="right" vertical="center" wrapText="1"/>
    </xf>
    <xf numFmtId="168" fontId="13" fillId="0" borderId="0" xfId="3" applyNumberFormat="1" applyFont="1" applyAlignment="1">
      <alignment horizontal="right" vertical="center" wrapText="1"/>
    </xf>
    <xf numFmtId="169" fontId="14" fillId="0" borderId="0" xfId="0" applyNumberFormat="1" applyFont="1"/>
    <xf numFmtId="170" fontId="14" fillId="0" borderId="0" xfId="0" applyNumberFormat="1" applyFont="1"/>
    <xf numFmtId="4" fontId="14" fillId="0" borderId="1" xfId="0" applyNumberFormat="1" applyFont="1" applyBorder="1"/>
    <xf numFmtId="3" fontId="13" fillId="0" borderId="1" xfId="0" applyNumberFormat="1" applyFont="1" applyBorder="1" applyAlignment="1">
      <alignment vertical="center" wrapText="1"/>
    </xf>
    <xf numFmtId="41" fontId="9" fillId="0" borderId="1" xfId="2" applyFont="1" applyBorder="1" applyAlignment="1">
      <alignment vertical="center" wrapText="1"/>
    </xf>
    <xf numFmtId="3" fontId="11" fillId="0" borderId="1" xfId="2" applyNumberFormat="1" applyFont="1" applyBorder="1" applyAlignment="1">
      <alignment vertical="center" wrapText="1"/>
    </xf>
    <xf numFmtId="4" fontId="0" fillId="0" borderId="0" xfId="0" applyNumberFormat="1"/>
    <xf numFmtId="0" fontId="11" fillId="0" borderId="0" xfId="0" applyFont="1" applyAlignment="1">
      <alignment horizontal="left"/>
    </xf>
    <xf numFmtId="0" fontId="9" fillId="0" borderId="0" xfId="0" applyFont="1" applyAlignment="1">
      <alignment horizontal="left"/>
    </xf>
    <xf numFmtId="0" fontId="13" fillId="2" borderId="2"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0" xfId="0" applyFont="1" applyBorder="1" applyAlignment="1">
      <alignment horizontal="center" vertical="center" wrapText="1"/>
    </xf>
    <xf numFmtId="4" fontId="6" fillId="0" borderId="0" xfId="0" applyNumberFormat="1" applyFont="1" applyAlignment="1">
      <alignment horizontal="center"/>
    </xf>
    <xf numFmtId="4" fontId="0" fillId="0" borderId="0" xfId="0" applyNumberFormat="1" applyAlignment="1">
      <alignment horizontal="center"/>
    </xf>
    <xf numFmtId="0" fontId="7" fillId="0" borderId="0" xfId="0" applyFont="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11" xfId="0" applyFont="1" applyBorder="1" applyAlignment="1">
      <alignment horizontal="center" vertical="center" wrapText="1"/>
    </xf>
    <xf numFmtId="16" fontId="9" fillId="0" borderId="0" xfId="0" applyNumberFormat="1" applyFont="1" applyAlignment="1">
      <alignment horizontal="left"/>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3" fontId="6" fillId="0" borderId="0" xfId="0" applyNumberFormat="1" applyFont="1" applyAlignment="1">
      <alignment horizontal="center"/>
    </xf>
    <xf numFmtId="0" fontId="7" fillId="0" borderId="12"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0" xfId="0" applyFont="1" applyAlignment="1">
      <alignment horizontal="center" vertical="center" wrapText="1"/>
    </xf>
    <xf numFmtId="0" fontId="18" fillId="0" borderId="7"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8"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left" vertical="justify" wrapText="1"/>
    </xf>
    <xf numFmtId="0" fontId="1" fillId="0" borderId="0" xfId="0" applyFont="1" applyAlignment="1">
      <alignment horizontal="center"/>
    </xf>
    <xf numFmtId="0" fontId="1" fillId="0" borderId="4" xfId="0" applyFont="1" applyBorder="1" applyAlignment="1">
      <alignment horizontal="center"/>
    </xf>
    <xf numFmtId="0" fontId="10" fillId="0" borderId="7" xfId="0" applyFont="1" applyBorder="1" applyAlignment="1">
      <alignment horizontal="center" vertical="justify" wrapText="1"/>
    </xf>
    <xf numFmtId="0" fontId="10" fillId="0" borderId="9" xfId="0" applyFont="1" applyBorder="1" applyAlignment="1">
      <alignment horizontal="center" vertical="justify" wrapText="1"/>
    </xf>
    <xf numFmtId="0" fontId="10" fillId="0" borderId="8" xfId="0" applyFont="1" applyBorder="1" applyAlignment="1">
      <alignment horizontal="center" vertical="justify" wrapText="1"/>
    </xf>
  </cellXfs>
  <cellStyles count="4">
    <cellStyle name="Millares" xfId="3" builtinId="3"/>
    <cellStyle name="Millares [0]" xfId="2" builtinId="6"/>
    <cellStyle name="Millares 2" xfId="1" xr:uid="{00000000-0005-0000-0000-00000100000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549519</xdr:colOff>
      <xdr:row>2</xdr:row>
      <xdr:rowOff>15240</xdr:rowOff>
    </xdr:from>
    <xdr:ext cx="184731" cy="264560"/>
    <xdr:sp macro="" textlink="">
      <xdr:nvSpPr>
        <xdr:cNvPr id="2" name="CuadroTexto 1">
          <a:extLst>
            <a:ext uri="{FF2B5EF4-FFF2-40B4-BE49-F238E27FC236}">
              <a16:creationId xmlns:a16="http://schemas.microsoft.com/office/drawing/2014/main" id="{00000000-0008-0000-0200-000002000000}"/>
            </a:ext>
          </a:extLst>
        </xdr:cNvPr>
        <xdr:cNvSpPr txBox="1"/>
      </xdr:nvSpPr>
      <xdr:spPr>
        <a:xfrm>
          <a:off x="2178294" y="94869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0</xdr:col>
      <xdr:colOff>0</xdr:colOff>
      <xdr:row>18</xdr:row>
      <xdr:rowOff>7620</xdr:rowOff>
    </xdr:from>
    <xdr:ext cx="1895475" cy="634144"/>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678680"/>
          <a:ext cx="1895475" cy="634144"/>
        </a:xfrm>
        <a:prstGeom prst="rect">
          <a:avLst/>
        </a:prstGeom>
      </xdr:spPr>
    </xdr:pic>
    <xdr:clientData/>
  </xdr:oneCellAnchor>
  <xdr:oneCellAnchor>
    <xdr:from>
      <xdr:col>10</xdr:col>
      <xdr:colOff>457202</xdr:colOff>
      <xdr:row>0</xdr:row>
      <xdr:rowOff>0</xdr:rowOff>
    </xdr:from>
    <xdr:ext cx="2598420" cy="899160"/>
    <xdr:pic>
      <xdr:nvPicPr>
        <xdr:cNvPr id="4" name="Imagen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190345" y="0"/>
          <a:ext cx="2598420" cy="899160"/>
        </a:xfrm>
        <a:prstGeom prst="rect">
          <a:avLst/>
        </a:prstGeom>
        <a:noFill/>
      </xdr:spPr>
    </xdr:pic>
    <xdr:clientData/>
  </xdr:oneCellAnchor>
</xdr:wsDr>
</file>

<file path=xl/drawings/drawing2.xml><?xml version="1.0" encoding="utf-8"?>
<xdr:wsDr xmlns:xdr="http://schemas.openxmlformats.org/drawingml/2006/spreadsheetDrawing" xmlns:a="http://schemas.openxmlformats.org/drawingml/2006/main">
  <xdr:oneCellAnchor>
    <xdr:from>
      <xdr:col>4</xdr:col>
      <xdr:colOff>549519</xdr:colOff>
      <xdr:row>2</xdr:row>
      <xdr:rowOff>15240</xdr:rowOff>
    </xdr:from>
    <xdr:ext cx="184731" cy="264560"/>
    <xdr:sp macro="" textlink="">
      <xdr:nvSpPr>
        <xdr:cNvPr id="2" name="CuadroTexto 1">
          <a:extLst>
            <a:ext uri="{FF2B5EF4-FFF2-40B4-BE49-F238E27FC236}">
              <a16:creationId xmlns:a16="http://schemas.microsoft.com/office/drawing/2014/main" id="{1F509C48-5531-4554-BCDF-71C93C979C7D}"/>
            </a:ext>
          </a:extLst>
        </xdr:cNvPr>
        <xdr:cNvSpPr txBox="1"/>
      </xdr:nvSpPr>
      <xdr:spPr>
        <a:xfrm>
          <a:off x="2233539"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10</xdr:col>
      <xdr:colOff>218882</xdr:colOff>
      <xdr:row>0</xdr:row>
      <xdr:rowOff>47625</xdr:rowOff>
    </xdr:from>
    <xdr:ext cx="2255520" cy="737235"/>
    <xdr:pic>
      <xdr:nvPicPr>
        <xdr:cNvPr id="3" name="Imagen 2">
          <a:extLst>
            <a:ext uri="{FF2B5EF4-FFF2-40B4-BE49-F238E27FC236}">
              <a16:creationId xmlns:a16="http://schemas.microsoft.com/office/drawing/2014/main" id="{AE4AA04B-DB8B-468B-B6CF-9E61B2A1C9D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06776" y="47625"/>
          <a:ext cx="2255520" cy="737235"/>
        </a:xfrm>
        <a:prstGeom prst="rect">
          <a:avLst/>
        </a:prstGeom>
        <a:noFill/>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549519</xdr:colOff>
      <xdr:row>2</xdr:row>
      <xdr:rowOff>15240</xdr:rowOff>
    </xdr:from>
    <xdr:ext cx="184731" cy="264560"/>
    <xdr:sp macro="" textlink="">
      <xdr:nvSpPr>
        <xdr:cNvPr id="2" name="CuadroTexto 1">
          <a:extLst>
            <a:ext uri="{FF2B5EF4-FFF2-40B4-BE49-F238E27FC236}">
              <a16:creationId xmlns:a16="http://schemas.microsoft.com/office/drawing/2014/main" id="{85A8FFE2-85AA-4114-8091-0E7A9ED24335}"/>
            </a:ext>
          </a:extLst>
        </xdr:cNvPr>
        <xdr:cNvSpPr txBox="1"/>
      </xdr:nvSpPr>
      <xdr:spPr>
        <a:xfrm>
          <a:off x="2248779" y="739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13605</xdr:colOff>
      <xdr:row>0</xdr:row>
      <xdr:rowOff>55094</xdr:rowOff>
    </xdr:from>
    <xdr:ext cx="1981200" cy="645795"/>
    <xdr:pic>
      <xdr:nvPicPr>
        <xdr:cNvPr id="3" name="Imagen 2">
          <a:extLst>
            <a:ext uri="{FF2B5EF4-FFF2-40B4-BE49-F238E27FC236}">
              <a16:creationId xmlns:a16="http://schemas.microsoft.com/office/drawing/2014/main" id="{2AE18F0B-D1B9-4E8D-8FB0-6C8D4B3850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70194" y="55094"/>
          <a:ext cx="1981200" cy="645795"/>
        </a:xfrm>
        <a:prstGeom prst="rect">
          <a:avLst/>
        </a:prstGeom>
        <a:noFill/>
      </xdr:spPr>
    </xdr:pic>
    <xdr:clientData/>
  </xdr:oneCellAnchor>
</xdr:wsDr>
</file>

<file path=xl/drawings/drawing4.xml><?xml version="1.0" encoding="utf-8"?>
<xdr:wsDr xmlns:xdr="http://schemas.openxmlformats.org/drawingml/2006/spreadsheetDrawing" xmlns:a="http://schemas.openxmlformats.org/drawingml/2006/main">
  <xdr:oneCellAnchor>
    <xdr:from>
      <xdr:col>3</xdr:col>
      <xdr:colOff>549519</xdr:colOff>
      <xdr:row>2</xdr:row>
      <xdr:rowOff>15240</xdr:rowOff>
    </xdr:from>
    <xdr:ext cx="184731" cy="264560"/>
    <xdr:sp macro="" textlink="">
      <xdr:nvSpPr>
        <xdr:cNvPr id="2" name="CuadroTexto 1">
          <a:extLst>
            <a:ext uri="{FF2B5EF4-FFF2-40B4-BE49-F238E27FC236}">
              <a16:creationId xmlns:a16="http://schemas.microsoft.com/office/drawing/2014/main" id="{53F5CC6E-2C8D-419F-831A-41E88B36537D}"/>
            </a:ext>
          </a:extLst>
        </xdr:cNvPr>
        <xdr:cNvSpPr txBox="1"/>
      </xdr:nvSpPr>
      <xdr:spPr>
        <a:xfrm>
          <a:off x="2248779" y="73914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11</xdr:col>
      <xdr:colOff>169344</xdr:colOff>
      <xdr:row>0</xdr:row>
      <xdr:rowOff>40005</xdr:rowOff>
    </xdr:from>
    <xdr:ext cx="1996440" cy="790575"/>
    <xdr:pic>
      <xdr:nvPicPr>
        <xdr:cNvPr id="3" name="Imagen 2">
          <a:extLst>
            <a:ext uri="{FF2B5EF4-FFF2-40B4-BE49-F238E27FC236}">
              <a16:creationId xmlns:a16="http://schemas.microsoft.com/office/drawing/2014/main" id="{05E15F05-D836-47D0-8634-48EA4D886D6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25177" y="40005"/>
          <a:ext cx="1996440" cy="790575"/>
        </a:xfrm>
        <a:prstGeom prst="rect">
          <a:avLst/>
        </a:prstGeom>
        <a:noFill/>
      </xdr:spPr>
    </xdr:pic>
    <xdr:clientData/>
  </xdr:oneCellAnchor>
</xdr:wsDr>
</file>

<file path=xl/drawings/drawing5.xml><?xml version="1.0" encoding="utf-8"?>
<xdr:wsDr xmlns:xdr="http://schemas.openxmlformats.org/drawingml/2006/spreadsheetDrawing" xmlns:a="http://schemas.openxmlformats.org/drawingml/2006/main">
  <xdr:oneCellAnchor>
    <xdr:from>
      <xdr:col>4</xdr:col>
      <xdr:colOff>0</xdr:colOff>
      <xdr:row>2</xdr:row>
      <xdr:rowOff>0</xdr:rowOff>
    </xdr:from>
    <xdr:ext cx="184731" cy="264560"/>
    <xdr:sp macro="" textlink="">
      <xdr:nvSpPr>
        <xdr:cNvPr id="2" name="CuadroTexto 1">
          <a:extLst>
            <a:ext uri="{FF2B5EF4-FFF2-40B4-BE49-F238E27FC236}">
              <a16:creationId xmlns:a16="http://schemas.microsoft.com/office/drawing/2014/main" id="{00000000-0008-0000-0100-000002000000}"/>
            </a:ext>
          </a:extLst>
        </xdr:cNvPr>
        <xdr:cNvSpPr txBox="1"/>
      </xdr:nvSpPr>
      <xdr:spPr>
        <a:xfrm>
          <a:off x="6502644" y="666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xdr:col>
      <xdr:colOff>57150</xdr:colOff>
      <xdr:row>10</xdr:row>
      <xdr:rowOff>1905</xdr:rowOff>
    </xdr:from>
    <xdr:ext cx="1895475" cy="748444"/>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6690" y="3850005"/>
          <a:ext cx="1895475" cy="748444"/>
        </a:xfrm>
        <a:prstGeom prst="rect">
          <a:avLst/>
        </a:prstGeom>
      </xdr:spPr>
    </xdr:pic>
    <xdr:clientData/>
  </xdr:oneCellAnchor>
  <xdr:twoCellAnchor editAs="oneCell">
    <xdr:from>
      <xdr:col>5</xdr:col>
      <xdr:colOff>22861</xdr:colOff>
      <xdr:row>0</xdr:row>
      <xdr:rowOff>76201</xdr:rowOff>
    </xdr:from>
    <xdr:to>
      <xdr:col>7</xdr:col>
      <xdr:colOff>781051</xdr:colOff>
      <xdr:row>1</xdr:row>
      <xdr:rowOff>363855</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495801" y="76201"/>
          <a:ext cx="2495550" cy="744854"/>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oneCellAnchor>
    <xdr:from>
      <xdr:col>4</xdr:col>
      <xdr:colOff>549519</xdr:colOff>
      <xdr:row>2</xdr:row>
      <xdr:rowOff>15240</xdr:rowOff>
    </xdr:from>
    <xdr:ext cx="184731" cy="264560"/>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2690739" y="94488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xdr:col>
      <xdr:colOff>3810</xdr:colOff>
      <xdr:row>16</xdr:row>
      <xdr:rowOff>76200</xdr:rowOff>
    </xdr:from>
    <xdr:ext cx="1895475" cy="748444"/>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530" y="4914900"/>
          <a:ext cx="1895475" cy="748444"/>
        </a:xfrm>
        <a:prstGeom prst="rect">
          <a:avLst/>
        </a:prstGeom>
      </xdr:spPr>
    </xdr:pic>
    <xdr:clientData/>
  </xdr:oneCellAnchor>
  <xdr:oneCellAnchor>
    <xdr:from>
      <xdr:col>12</xdr:col>
      <xdr:colOff>0</xdr:colOff>
      <xdr:row>0</xdr:row>
      <xdr:rowOff>30480</xdr:rowOff>
    </xdr:from>
    <xdr:ext cx="2598420" cy="899160"/>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71160" y="30480"/>
          <a:ext cx="2598420" cy="899160"/>
        </a:xfrm>
        <a:prstGeom prst="rect">
          <a:avLst/>
        </a:prstGeom>
        <a:noFill/>
      </xdr:spPr>
    </xdr:pic>
    <xdr:clientData/>
  </xdr:oneCellAnchor>
</xdr:wsDr>
</file>

<file path=xl/drawings/drawing7.xml><?xml version="1.0" encoding="utf-8"?>
<xdr:wsDr xmlns:xdr="http://schemas.openxmlformats.org/drawingml/2006/spreadsheetDrawing" xmlns:a="http://schemas.openxmlformats.org/drawingml/2006/main">
  <xdr:oneCellAnchor>
    <xdr:from>
      <xdr:col>4</xdr:col>
      <xdr:colOff>549519</xdr:colOff>
      <xdr:row>2</xdr:row>
      <xdr:rowOff>15240</xdr:rowOff>
    </xdr:from>
    <xdr:ext cx="184731" cy="264560"/>
    <xdr:sp macro="" textlink="">
      <xdr:nvSpPr>
        <xdr:cNvPr id="2" name="CuadroTexto 1">
          <a:extLst>
            <a:ext uri="{FF2B5EF4-FFF2-40B4-BE49-F238E27FC236}">
              <a16:creationId xmlns:a16="http://schemas.microsoft.com/office/drawing/2014/main" id="{61F5D436-0737-4F9F-8F4B-09F6391846E3}"/>
            </a:ext>
          </a:extLst>
        </xdr:cNvPr>
        <xdr:cNvSpPr txBox="1"/>
      </xdr:nvSpPr>
      <xdr:spPr>
        <a:xfrm>
          <a:off x="2233539"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xdr:col>
      <xdr:colOff>3810</xdr:colOff>
      <xdr:row>16</xdr:row>
      <xdr:rowOff>76200</xdr:rowOff>
    </xdr:from>
    <xdr:ext cx="1895475" cy="748444"/>
    <xdr:pic>
      <xdr:nvPicPr>
        <xdr:cNvPr id="3" name="Imagen 2">
          <a:extLst>
            <a:ext uri="{FF2B5EF4-FFF2-40B4-BE49-F238E27FC236}">
              <a16:creationId xmlns:a16="http://schemas.microsoft.com/office/drawing/2014/main" id="{F80E5D08-439E-41DC-A6F1-550679548EF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9530" y="4884420"/>
          <a:ext cx="1895475" cy="748444"/>
        </a:xfrm>
        <a:prstGeom prst="rect">
          <a:avLst/>
        </a:prstGeom>
      </xdr:spPr>
    </xdr:pic>
    <xdr:clientData/>
  </xdr:oneCellAnchor>
  <xdr:oneCellAnchor>
    <xdr:from>
      <xdr:col>7</xdr:col>
      <xdr:colOff>76200</xdr:colOff>
      <xdr:row>0</xdr:row>
      <xdr:rowOff>137160</xdr:rowOff>
    </xdr:from>
    <xdr:ext cx="1600200" cy="754380"/>
    <xdr:pic>
      <xdr:nvPicPr>
        <xdr:cNvPr id="4" name="Imagen 3">
          <a:extLst>
            <a:ext uri="{FF2B5EF4-FFF2-40B4-BE49-F238E27FC236}">
              <a16:creationId xmlns:a16="http://schemas.microsoft.com/office/drawing/2014/main" id="{0F37B49D-91D7-4634-8B29-789F8F440ACD}"/>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992880" y="137160"/>
          <a:ext cx="1600200" cy="754380"/>
        </a:xfrm>
        <a:prstGeom prst="rect">
          <a:avLst/>
        </a:prstGeom>
        <a:noFill/>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27"/>
  <sheetViews>
    <sheetView zoomScale="105" workbookViewId="0"/>
  </sheetViews>
  <sheetFormatPr baseColWidth="10" defaultRowHeight="15" x14ac:dyDescent="0.25"/>
  <cols>
    <col min="1" max="1" width="0.7109375" customWidth="1"/>
    <col min="2" max="2" width="6.42578125" customWidth="1"/>
    <col min="4" max="4" width="5.85546875" customWidth="1"/>
    <col min="5" max="5" width="11.7109375" customWidth="1"/>
    <col min="6" max="6" width="10.5703125" customWidth="1"/>
    <col min="7" max="7" width="11.28515625" customWidth="1"/>
    <col min="8" max="9" width="9.28515625" customWidth="1"/>
    <col min="10" max="10" width="6.85546875" customWidth="1"/>
    <col min="11" max="11" width="6.7109375" customWidth="1"/>
    <col min="12" max="12" width="18.28515625" hidden="1" customWidth="1"/>
    <col min="13" max="13" width="15.5703125" customWidth="1"/>
    <col min="14" max="14" width="13" hidden="1" customWidth="1"/>
    <col min="15" max="15" width="13" customWidth="1"/>
    <col min="16" max="16" width="12.7109375" hidden="1" customWidth="1"/>
    <col min="17" max="17" width="12.7109375" customWidth="1"/>
  </cols>
  <sheetData>
    <row r="1" spans="1:17" ht="36.6" customHeight="1" x14ac:dyDescent="0.25">
      <c r="A1" s="1"/>
      <c r="B1" s="91" t="s">
        <v>5</v>
      </c>
      <c r="C1" s="92"/>
      <c r="D1" s="92"/>
      <c r="E1" s="92"/>
      <c r="F1" s="92"/>
      <c r="G1" s="92"/>
      <c r="H1" s="92"/>
      <c r="I1" s="92"/>
      <c r="J1" s="88"/>
      <c r="K1" s="88"/>
      <c r="L1" s="88"/>
      <c r="M1" s="88"/>
      <c r="N1" s="88"/>
      <c r="O1" s="88"/>
      <c r="P1" s="88"/>
      <c r="Q1" s="88"/>
    </row>
    <row r="2" spans="1:17" ht="37.700000000000003" customHeight="1" x14ac:dyDescent="0.25">
      <c r="A2" s="1"/>
      <c r="B2" s="89"/>
      <c r="C2" s="90"/>
      <c r="D2" s="90"/>
      <c r="E2" s="90"/>
      <c r="F2" s="90"/>
      <c r="G2" s="90"/>
      <c r="H2" s="90"/>
      <c r="I2" s="90"/>
      <c r="J2" s="88"/>
      <c r="K2" s="88"/>
      <c r="L2" s="88"/>
      <c r="M2" s="88"/>
      <c r="N2" s="88"/>
      <c r="O2" s="88"/>
      <c r="P2" s="88"/>
      <c r="Q2" s="88"/>
    </row>
    <row r="3" spans="1:17" ht="20.45" customHeight="1" x14ac:dyDescent="0.25">
      <c r="A3" s="14"/>
      <c r="B3" s="89" t="s">
        <v>43</v>
      </c>
      <c r="C3" s="90"/>
      <c r="D3" s="90"/>
      <c r="E3" s="90"/>
      <c r="F3" s="90"/>
      <c r="G3" s="90"/>
      <c r="H3" s="90"/>
      <c r="I3" s="90"/>
      <c r="J3" s="90"/>
      <c r="K3" s="90"/>
      <c r="L3" s="90"/>
      <c r="M3" s="90"/>
      <c r="N3" s="90"/>
      <c r="O3" s="90"/>
      <c r="P3" s="90"/>
      <c r="Q3" s="90"/>
    </row>
    <row r="4" spans="1:17" ht="38.450000000000003" customHeight="1" x14ac:dyDescent="0.25">
      <c r="A4" s="1"/>
      <c r="B4" s="85" t="s">
        <v>18</v>
      </c>
      <c r="C4" s="94" t="s">
        <v>4</v>
      </c>
      <c r="D4" s="85" t="s">
        <v>27</v>
      </c>
      <c r="E4" s="29" t="s">
        <v>22</v>
      </c>
      <c r="F4" s="29" t="s">
        <v>19</v>
      </c>
      <c r="G4" s="29" t="s">
        <v>21</v>
      </c>
      <c r="H4" s="29" t="s">
        <v>20</v>
      </c>
      <c r="I4" s="31" t="s">
        <v>9</v>
      </c>
      <c r="J4" s="85" t="s">
        <v>27</v>
      </c>
      <c r="K4" s="84" t="s">
        <v>41</v>
      </c>
      <c r="L4" s="82" t="s">
        <v>49</v>
      </c>
      <c r="M4" s="82" t="s">
        <v>49</v>
      </c>
      <c r="N4" s="84" t="s">
        <v>42</v>
      </c>
      <c r="O4" s="84" t="s">
        <v>42</v>
      </c>
      <c r="P4" s="84" t="s">
        <v>48</v>
      </c>
      <c r="Q4" s="84" t="s">
        <v>48</v>
      </c>
    </row>
    <row r="5" spans="1:17" ht="27.75" customHeight="1" x14ac:dyDescent="0.25">
      <c r="A5" s="1"/>
      <c r="B5" s="93"/>
      <c r="C5" s="85"/>
      <c r="D5" s="93"/>
      <c r="E5" s="24" t="s">
        <v>0</v>
      </c>
      <c r="F5" s="24" t="s">
        <v>0</v>
      </c>
      <c r="G5" s="24" t="s">
        <v>0</v>
      </c>
      <c r="H5" s="24" t="s">
        <v>0</v>
      </c>
      <c r="I5" s="24" t="s">
        <v>0</v>
      </c>
      <c r="J5" s="93"/>
      <c r="K5" s="85"/>
      <c r="L5" s="83"/>
      <c r="M5" s="83"/>
      <c r="N5" s="85"/>
      <c r="O5" s="85"/>
      <c r="P5" s="85"/>
      <c r="Q5" s="85"/>
    </row>
    <row r="6" spans="1:17" x14ac:dyDescent="0.25">
      <c r="A6" s="1"/>
      <c r="B6" s="23">
        <v>1</v>
      </c>
      <c r="C6" s="24" t="s">
        <v>11</v>
      </c>
      <c r="D6" s="27">
        <v>1</v>
      </c>
      <c r="E6" s="22">
        <v>105000</v>
      </c>
      <c r="F6" s="22">
        <v>66041</v>
      </c>
      <c r="G6" s="22">
        <v>188876.38</v>
      </c>
      <c r="H6" s="22">
        <v>103979</v>
      </c>
      <c r="I6" s="43">
        <f>AVERAGE(E6,F6,G6,H6)</f>
        <v>115974.095</v>
      </c>
      <c r="J6" s="39">
        <v>4.5</v>
      </c>
      <c r="K6" s="53">
        <v>40</v>
      </c>
      <c r="L6" s="66">
        <f>I6*J6*K6</f>
        <v>20875337.100000001</v>
      </c>
      <c r="M6" s="66">
        <f>ROUND(L6,0)</f>
        <v>20875337</v>
      </c>
      <c r="N6" s="75">
        <f>L6*80%</f>
        <v>16700269.680000002</v>
      </c>
      <c r="O6" s="44">
        <f>ROUND(N6,0)</f>
        <v>16700270</v>
      </c>
      <c r="P6" s="75">
        <f>L6*20%</f>
        <v>4175067.4200000004</v>
      </c>
      <c r="Q6" s="44">
        <f>ROUNDUP(P6,0)</f>
        <v>4175068</v>
      </c>
    </row>
    <row r="7" spans="1:17" ht="25.5" x14ac:dyDescent="0.25">
      <c r="A7" s="1"/>
      <c r="B7" s="25">
        <v>2</v>
      </c>
      <c r="C7" s="24" t="s">
        <v>12</v>
      </c>
      <c r="D7" s="27">
        <v>1</v>
      </c>
      <c r="E7" s="22">
        <v>1660000</v>
      </c>
      <c r="F7" s="22">
        <v>2179342</v>
      </c>
      <c r="G7" s="22">
        <v>2179342.79</v>
      </c>
      <c r="H7" s="22">
        <v>1615332</v>
      </c>
      <c r="I7" s="43">
        <f t="shared" ref="I7:I12" si="0">AVERAGE(E7,F7,G7,H7)</f>
        <v>1908504.1975</v>
      </c>
      <c r="J7" s="39">
        <v>4.5</v>
      </c>
      <c r="K7" s="53">
        <v>40</v>
      </c>
      <c r="L7" s="55">
        <f t="shared" ref="L7:L12" si="1">I7*J7*K7</f>
        <v>343530755.55000001</v>
      </c>
      <c r="M7" s="66">
        <f t="shared" ref="M7:M12" si="2">ROUND(L7,0)</f>
        <v>343530756</v>
      </c>
      <c r="N7" s="75">
        <f t="shared" ref="N7:N12" si="3">L7*80%</f>
        <v>274824604.44</v>
      </c>
      <c r="O7" s="44">
        <f t="shared" ref="O7:O12" si="4">ROUND(N7,0)</f>
        <v>274824604</v>
      </c>
      <c r="P7" s="75">
        <f t="shared" ref="P7:P12" si="5">L7*20%</f>
        <v>68706151.109999999</v>
      </c>
      <c r="Q7" s="44">
        <f t="shared" ref="Q7:Q12" si="6">ROUND(P7,0)</f>
        <v>68706151</v>
      </c>
    </row>
    <row r="8" spans="1:17" ht="38.25" x14ac:dyDescent="0.25">
      <c r="A8" s="1"/>
      <c r="B8" s="25">
        <v>3</v>
      </c>
      <c r="C8" s="24" t="s">
        <v>13</v>
      </c>
      <c r="D8" s="27">
        <v>1</v>
      </c>
      <c r="E8" s="22">
        <v>55000</v>
      </c>
      <c r="F8" s="22">
        <v>66041</v>
      </c>
      <c r="G8" s="22">
        <v>25095.46</v>
      </c>
      <c r="H8" s="22">
        <v>53057</v>
      </c>
      <c r="I8" s="43">
        <f t="shared" si="0"/>
        <v>49798.364999999998</v>
      </c>
      <c r="J8" s="39">
        <v>4.5</v>
      </c>
      <c r="K8" s="53">
        <v>40</v>
      </c>
      <c r="L8" s="55">
        <f t="shared" si="1"/>
        <v>8963705.6999999993</v>
      </c>
      <c r="M8" s="66">
        <f t="shared" si="2"/>
        <v>8963706</v>
      </c>
      <c r="N8" s="75">
        <f t="shared" si="3"/>
        <v>7170964.5599999996</v>
      </c>
      <c r="O8" s="44">
        <f>ROUNDDOWN(N8,0)</f>
        <v>7170964</v>
      </c>
      <c r="P8" s="75">
        <f t="shared" si="5"/>
        <v>1792741.14</v>
      </c>
      <c r="Q8" s="44">
        <f t="shared" si="6"/>
        <v>1792741</v>
      </c>
    </row>
    <row r="9" spans="1:17" x14ac:dyDescent="0.25">
      <c r="A9" s="1"/>
      <c r="B9" s="25">
        <v>4</v>
      </c>
      <c r="C9" s="24" t="s">
        <v>14</v>
      </c>
      <c r="D9" s="27">
        <v>1</v>
      </c>
      <c r="E9" s="22">
        <v>600000</v>
      </c>
      <c r="F9" s="22">
        <v>660407</v>
      </c>
      <c r="G9" s="22">
        <v>429264.49</v>
      </c>
      <c r="H9" s="22">
        <v>570413</v>
      </c>
      <c r="I9" s="43">
        <f t="shared" si="0"/>
        <v>565021.12250000006</v>
      </c>
      <c r="J9" s="39">
        <v>4.5</v>
      </c>
      <c r="K9" s="53">
        <v>40</v>
      </c>
      <c r="L9" s="55">
        <f t="shared" si="1"/>
        <v>101703802.05000001</v>
      </c>
      <c r="M9" s="66">
        <f t="shared" si="2"/>
        <v>101703802</v>
      </c>
      <c r="N9" s="75">
        <f t="shared" si="3"/>
        <v>81363041.640000015</v>
      </c>
      <c r="O9" s="44">
        <f t="shared" si="4"/>
        <v>81363042</v>
      </c>
      <c r="P9" s="75">
        <f t="shared" si="5"/>
        <v>20340760.410000004</v>
      </c>
      <c r="Q9" s="44">
        <f>ROUNDUP(P9,0)</f>
        <v>20340761</v>
      </c>
    </row>
    <row r="10" spans="1:17" ht="25.5" x14ac:dyDescent="0.25">
      <c r="A10" s="1"/>
      <c r="B10" s="25">
        <v>5</v>
      </c>
      <c r="C10" s="24" t="s">
        <v>15</v>
      </c>
      <c r="D10" s="27">
        <v>1</v>
      </c>
      <c r="E10" s="22">
        <v>40000</v>
      </c>
      <c r="F10" s="22">
        <v>39624</v>
      </c>
      <c r="G10" s="22">
        <v>35001.57</v>
      </c>
      <c r="H10" s="22">
        <v>38469</v>
      </c>
      <c r="I10" s="43">
        <f t="shared" si="0"/>
        <v>38273.642500000002</v>
      </c>
      <c r="J10" s="39">
        <v>4.5</v>
      </c>
      <c r="K10" s="53">
        <v>40</v>
      </c>
      <c r="L10" s="55">
        <f t="shared" si="1"/>
        <v>6889255.6500000004</v>
      </c>
      <c r="M10" s="66">
        <f t="shared" si="2"/>
        <v>6889256</v>
      </c>
      <c r="N10" s="75">
        <f t="shared" si="3"/>
        <v>5511404.5200000005</v>
      </c>
      <c r="O10" s="44">
        <f t="shared" si="4"/>
        <v>5511405</v>
      </c>
      <c r="P10" s="75">
        <f t="shared" si="5"/>
        <v>1377851.1300000001</v>
      </c>
      <c r="Q10" s="44">
        <f t="shared" si="6"/>
        <v>1377851</v>
      </c>
    </row>
    <row r="11" spans="1:17" ht="38.25" x14ac:dyDescent="0.25">
      <c r="A11" s="1"/>
      <c r="B11" s="25">
        <v>6</v>
      </c>
      <c r="C11" s="26" t="s">
        <v>17</v>
      </c>
      <c r="D11" s="27">
        <v>1</v>
      </c>
      <c r="E11" s="22">
        <v>70000</v>
      </c>
      <c r="F11" s="22">
        <v>59437</v>
      </c>
      <c r="G11" s="22">
        <v>15189.36</v>
      </c>
      <c r="H11" s="22">
        <v>60451</v>
      </c>
      <c r="I11" s="43">
        <f t="shared" si="0"/>
        <v>51269.34</v>
      </c>
      <c r="J11" s="39">
        <v>4.5</v>
      </c>
      <c r="K11" s="53">
        <v>40</v>
      </c>
      <c r="L11" s="55">
        <f t="shared" si="1"/>
        <v>9228481.1999999993</v>
      </c>
      <c r="M11" s="66">
        <f t="shared" si="2"/>
        <v>9228481</v>
      </c>
      <c r="N11" s="75">
        <f t="shared" si="3"/>
        <v>7382784.96</v>
      </c>
      <c r="O11" s="44">
        <f t="shared" si="4"/>
        <v>7382785</v>
      </c>
      <c r="P11" s="75">
        <f t="shared" si="5"/>
        <v>1845696.24</v>
      </c>
      <c r="Q11" s="44">
        <f t="shared" si="6"/>
        <v>1845696</v>
      </c>
    </row>
    <row r="12" spans="1:17" ht="38.25" x14ac:dyDescent="0.25">
      <c r="A12" s="1"/>
      <c r="B12" s="25">
        <v>7</v>
      </c>
      <c r="C12" s="26" t="s">
        <v>16</v>
      </c>
      <c r="D12" s="27">
        <v>1</v>
      </c>
      <c r="E12" s="22">
        <v>900000</v>
      </c>
      <c r="F12" s="22">
        <v>231142</v>
      </c>
      <c r="G12" s="22">
        <v>429264.49</v>
      </c>
      <c r="H12" s="22">
        <v>855637</v>
      </c>
      <c r="I12" s="43">
        <f t="shared" si="0"/>
        <v>604010.87250000006</v>
      </c>
      <c r="J12" s="39">
        <v>4.5</v>
      </c>
      <c r="K12" s="53">
        <v>40</v>
      </c>
      <c r="L12" s="55">
        <f t="shared" si="1"/>
        <v>108721957.05000001</v>
      </c>
      <c r="M12" s="66">
        <f t="shared" si="2"/>
        <v>108721957</v>
      </c>
      <c r="N12" s="75">
        <f t="shared" si="3"/>
        <v>86977565.640000015</v>
      </c>
      <c r="O12" s="44">
        <f t="shared" si="4"/>
        <v>86977566</v>
      </c>
      <c r="P12" s="75">
        <f t="shared" si="5"/>
        <v>21744391.410000004</v>
      </c>
      <c r="Q12" s="44">
        <f t="shared" si="6"/>
        <v>21744391</v>
      </c>
    </row>
    <row r="13" spans="1:17" x14ac:dyDescent="0.25">
      <c r="A13" s="1"/>
      <c r="B13" s="96" t="s">
        <v>29</v>
      </c>
      <c r="C13" s="97"/>
      <c r="D13" s="97"/>
      <c r="E13" s="28">
        <f>SUM(E6:E12)</f>
        <v>3430000</v>
      </c>
      <c r="F13" s="28">
        <f>SUM(F6:F12)</f>
        <v>3302034</v>
      </c>
      <c r="G13" s="42">
        <f t="shared" ref="G13:I13" si="7">SUM(G6:G12)</f>
        <v>3302034.54</v>
      </c>
      <c r="H13" s="28">
        <f t="shared" si="7"/>
        <v>3297338</v>
      </c>
      <c r="I13" s="42">
        <f t="shared" si="7"/>
        <v>3332851.6350000002</v>
      </c>
      <c r="J13" s="30"/>
      <c r="K13" s="30"/>
      <c r="L13" s="68">
        <f>SUM(L6:L12)</f>
        <v>599913294.29999995</v>
      </c>
      <c r="M13" s="67">
        <f>SUM(M6:M12)</f>
        <v>599913295</v>
      </c>
      <c r="N13" s="42">
        <f>SUM(N6:N12)</f>
        <v>479930635.44000006</v>
      </c>
      <c r="O13" s="65">
        <f>SUM(O6:O12)</f>
        <v>479930636</v>
      </c>
      <c r="P13" s="42">
        <f t="shared" ref="P13:Q13" si="8">SUM(P6:P12)</f>
        <v>119982658.86000001</v>
      </c>
      <c r="Q13" s="28">
        <f t="shared" si="8"/>
        <v>119982659</v>
      </c>
    </row>
    <row r="14" spans="1:17" ht="15.75" x14ac:dyDescent="0.25">
      <c r="A14" s="1"/>
      <c r="B14" s="37" t="s">
        <v>30</v>
      </c>
      <c r="C14" s="38" t="s">
        <v>63</v>
      </c>
      <c r="D14" s="17"/>
      <c r="E14" s="18"/>
      <c r="F14" s="19"/>
      <c r="G14" s="20"/>
      <c r="H14" s="19"/>
      <c r="I14" s="21"/>
      <c r="J14" s="21"/>
      <c r="K14" s="21"/>
      <c r="L14" s="72"/>
      <c r="M14" s="21"/>
      <c r="N14" s="74">
        <f>L14*80%</f>
        <v>0</v>
      </c>
      <c r="O14" s="74"/>
      <c r="P14" s="73">
        <f>L14*20%</f>
        <v>0</v>
      </c>
      <c r="Q14" s="73">
        <f>M14*20%</f>
        <v>0</v>
      </c>
    </row>
    <row r="15" spans="1:17" ht="15.75" x14ac:dyDescent="0.25">
      <c r="A15" s="1"/>
      <c r="B15" s="37"/>
      <c r="C15" s="38"/>
      <c r="D15" s="17"/>
      <c r="E15" s="18"/>
      <c r="F15" s="19"/>
      <c r="G15" s="20"/>
      <c r="H15" s="19"/>
      <c r="I15" s="21"/>
      <c r="J15" s="21"/>
      <c r="K15" s="21"/>
      <c r="L15" s="70"/>
      <c r="M15" s="21"/>
      <c r="N15" s="18"/>
      <c r="O15" s="18"/>
      <c r="P15" s="18"/>
      <c r="Q15" s="18"/>
    </row>
    <row r="16" spans="1:17" ht="15.75" x14ac:dyDescent="0.25">
      <c r="A16" s="1"/>
      <c r="B16" s="37" t="s">
        <v>30</v>
      </c>
      <c r="C16" s="3" t="s">
        <v>50</v>
      </c>
      <c r="D16" s="9"/>
      <c r="E16" s="10"/>
      <c r="H16" s="86">
        <f>O13</f>
        <v>479930636</v>
      </c>
      <c r="I16" s="86"/>
      <c r="K16" s="6"/>
      <c r="L16" s="71"/>
      <c r="M16" s="71"/>
    </row>
    <row r="17" spans="1:13" ht="15.75" x14ac:dyDescent="0.25">
      <c r="A17" s="1"/>
      <c r="B17" s="37" t="s">
        <v>30</v>
      </c>
      <c r="C17" s="3" t="s">
        <v>51</v>
      </c>
      <c r="D17" s="9"/>
      <c r="E17" s="10"/>
      <c r="H17" s="86">
        <f>Q13</f>
        <v>119982659</v>
      </c>
      <c r="I17" s="86"/>
      <c r="K17" s="6"/>
      <c r="L17" s="6"/>
      <c r="M17" s="71"/>
    </row>
    <row r="18" spans="1:13" ht="15.75" x14ac:dyDescent="0.25">
      <c r="A18" s="1"/>
      <c r="B18" s="37" t="s">
        <v>30</v>
      </c>
      <c r="C18" s="3" t="s">
        <v>54</v>
      </c>
      <c r="D18" s="9"/>
      <c r="E18" s="10"/>
      <c r="H18" s="86">
        <f>H16+H17</f>
        <v>599913295</v>
      </c>
      <c r="I18" s="86"/>
      <c r="K18" s="6"/>
      <c r="L18" s="6"/>
      <c r="M18" s="6"/>
    </row>
    <row r="19" spans="1:13" ht="15.75" x14ac:dyDescent="0.25">
      <c r="A19" s="1"/>
      <c r="B19" s="37"/>
      <c r="C19" s="3"/>
      <c r="D19" s="9"/>
      <c r="E19" s="10"/>
      <c r="F19" s="11"/>
      <c r="G19" s="5"/>
      <c r="H19" s="11"/>
      <c r="I19" s="52"/>
      <c r="J19" s="6"/>
      <c r="K19" s="6"/>
      <c r="L19" s="6"/>
      <c r="M19" s="6"/>
    </row>
    <row r="20" spans="1:13" x14ac:dyDescent="0.25">
      <c r="A20" s="1"/>
      <c r="B20" s="8"/>
      <c r="C20" s="3"/>
      <c r="D20" s="9"/>
      <c r="E20" s="10"/>
      <c r="F20" s="11"/>
      <c r="G20" s="5"/>
      <c r="H20" s="11"/>
      <c r="I20" s="6"/>
      <c r="J20" s="6"/>
      <c r="K20" s="6"/>
      <c r="L20" s="6"/>
      <c r="M20" s="6"/>
    </row>
    <row r="21" spans="1:13" x14ac:dyDescent="0.25">
      <c r="A21" s="1"/>
      <c r="B21" s="80" t="s">
        <v>1</v>
      </c>
      <c r="C21" s="80"/>
      <c r="D21" s="80"/>
      <c r="E21" s="4"/>
      <c r="F21" s="4"/>
      <c r="G21" s="4"/>
      <c r="H21" s="4"/>
      <c r="I21" s="4"/>
      <c r="J21" s="4"/>
      <c r="K21" s="4"/>
      <c r="L21" s="4"/>
      <c r="M21" s="4"/>
    </row>
    <row r="22" spans="1:13" x14ac:dyDescent="0.25">
      <c r="A22" s="1"/>
      <c r="B22" s="81" t="s">
        <v>2</v>
      </c>
      <c r="C22" s="81"/>
      <c r="D22" s="81"/>
      <c r="E22" s="2"/>
      <c r="F22" s="2"/>
      <c r="G22" s="2"/>
      <c r="H22" s="2"/>
      <c r="I22" s="2"/>
      <c r="J22" s="2"/>
      <c r="K22" s="2"/>
      <c r="L22" s="2"/>
      <c r="M22" s="2"/>
    </row>
    <row r="23" spans="1:13" x14ac:dyDescent="0.25">
      <c r="A23" s="1"/>
      <c r="B23" s="95" t="s">
        <v>44</v>
      </c>
      <c r="C23" s="95"/>
      <c r="D23" s="12"/>
      <c r="E23" s="2"/>
      <c r="F23" s="2"/>
      <c r="G23" s="2"/>
      <c r="H23" s="2"/>
      <c r="I23" s="2"/>
      <c r="J23" s="2"/>
      <c r="K23" s="2"/>
      <c r="L23" s="2"/>
      <c r="M23" s="2"/>
    </row>
    <row r="26" spans="1:13" x14ac:dyDescent="0.25">
      <c r="F26" s="87">
        <v>3332852</v>
      </c>
      <c r="G26" s="87"/>
      <c r="H26">
        <v>30</v>
      </c>
      <c r="I26" s="87">
        <f>F26/H26</f>
        <v>111095.06666666667</v>
      </c>
      <c r="J26" s="87"/>
    </row>
    <row r="27" spans="1:13" x14ac:dyDescent="0.25">
      <c r="H27" s="79"/>
    </row>
  </sheetData>
  <mergeCells count="23">
    <mergeCell ref="I26:J26"/>
    <mergeCell ref="F26:G26"/>
    <mergeCell ref="Q4:Q5"/>
    <mergeCell ref="J1:Q2"/>
    <mergeCell ref="B3:Q3"/>
    <mergeCell ref="O4:O5"/>
    <mergeCell ref="B1:I2"/>
    <mergeCell ref="B4:B5"/>
    <mergeCell ref="C4:C5"/>
    <mergeCell ref="D4:D5"/>
    <mergeCell ref="J4:J5"/>
    <mergeCell ref="P4:P5"/>
    <mergeCell ref="M4:M5"/>
    <mergeCell ref="B23:C23"/>
    <mergeCell ref="B13:D13"/>
    <mergeCell ref="K4:K5"/>
    <mergeCell ref="B21:D21"/>
    <mergeCell ref="B22:D22"/>
    <mergeCell ref="L4:L5"/>
    <mergeCell ref="N4:N5"/>
    <mergeCell ref="H16:I16"/>
    <mergeCell ref="H17:I17"/>
    <mergeCell ref="H18:I18"/>
  </mergeCells>
  <pageMargins left="0.7" right="0.7" top="0.75" bottom="0.75" header="0.3" footer="0.3"/>
  <pageSetup orientation="portrait" horizontalDpi="4294967292"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1B173-7CF7-49F0-BD0F-82E33ADD978D}">
  <dimension ref="B1:Q18"/>
  <sheetViews>
    <sheetView topLeftCell="F4" zoomScale="94" workbookViewId="0">
      <selection activeCell="C14" sqref="C14"/>
    </sheetView>
  </sheetViews>
  <sheetFormatPr baseColWidth="10" defaultRowHeight="15" x14ac:dyDescent="0.25"/>
  <cols>
    <col min="1" max="1" width="1.42578125" customWidth="1"/>
    <col min="2" max="2" width="6.140625" customWidth="1"/>
    <col min="4" max="4" width="7.140625" customWidth="1"/>
    <col min="9" max="9" width="9.28515625" customWidth="1"/>
    <col min="10" max="10" width="6.85546875" customWidth="1"/>
    <col min="11" max="11" width="7.140625" customWidth="1"/>
    <col min="12" max="12" width="17.85546875" hidden="1" customWidth="1"/>
    <col min="13" max="13" width="11.140625" customWidth="1"/>
    <col min="14" max="14" width="9.28515625" hidden="1" customWidth="1"/>
    <col min="15" max="15" width="9.28515625" customWidth="1"/>
    <col min="16" max="16" width="9.28515625" hidden="1" customWidth="1"/>
    <col min="17" max="17" width="9.28515625" customWidth="1"/>
  </cols>
  <sheetData>
    <row r="1" spans="2:17" ht="30.6" customHeight="1" x14ac:dyDescent="0.25">
      <c r="B1" s="99" t="s">
        <v>62</v>
      </c>
      <c r="C1" s="88"/>
      <c r="D1" s="88"/>
      <c r="E1" s="88"/>
      <c r="F1" s="88"/>
      <c r="G1" s="88"/>
      <c r="H1" s="88"/>
      <c r="I1" s="88"/>
      <c r="J1" s="88"/>
      <c r="K1" s="88"/>
      <c r="L1" s="88"/>
      <c r="M1" s="88"/>
      <c r="N1" s="88"/>
      <c r="O1" s="88"/>
      <c r="P1" s="88"/>
      <c r="Q1" s="88"/>
    </row>
    <row r="2" spans="2:17" ht="29.45" customHeight="1" x14ac:dyDescent="0.25">
      <c r="B2" s="99"/>
      <c r="C2" s="88"/>
      <c r="D2" s="88"/>
      <c r="E2" s="88"/>
      <c r="F2" s="88"/>
      <c r="G2" s="88"/>
      <c r="H2" s="88"/>
      <c r="I2" s="88"/>
      <c r="J2" s="88"/>
      <c r="K2" s="88"/>
      <c r="L2" s="88"/>
      <c r="M2" s="88"/>
      <c r="N2" s="88"/>
      <c r="O2" s="88"/>
      <c r="P2" s="88"/>
      <c r="Q2" s="88"/>
    </row>
    <row r="3" spans="2:17" ht="21" customHeight="1" x14ac:dyDescent="0.25">
      <c r="B3" s="89" t="s">
        <v>45</v>
      </c>
      <c r="C3" s="90"/>
      <c r="D3" s="90"/>
      <c r="E3" s="90"/>
      <c r="F3" s="90"/>
      <c r="G3" s="90"/>
      <c r="H3" s="90"/>
      <c r="I3" s="90"/>
      <c r="J3" s="90"/>
      <c r="K3" s="90"/>
      <c r="L3" s="90"/>
      <c r="M3" s="90"/>
      <c r="N3" s="90"/>
      <c r="O3" s="90"/>
      <c r="P3" s="90"/>
      <c r="Q3" s="90"/>
    </row>
    <row r="4" spans="2:17" ht="51" x14ac:dyDescent="0.25">
      <c r="B4" s="85" t="s">
        <v>18</v>
      </c>
      <c r="C4" s="94" t="s">
        <v>4</v>
      </c>
      <c r="D4" s="85" t="s">
        <v>27</v>
      </c>
      <c r="E4" s="29" t="s">
        <v>22</v>
      </c>
      <c r="F4" s="29" t="s">
        <v>19</v>
      </c>
      <c r="G4" s="29" t="s">
        <v>21</v>
      </c>
      <c r="H4" s="29" t="s">
        <v>20</v>
      </c>
      <c r="I4" s="31" t="s">
        <v>9</v>
      </c>
      <c r="J4" s="85" t="s">
        <v>27</v>
      </c>
      <c r="K4" s="84" t="s">
        <v>41</v>
      </c>
      <c r="L4" s="82" t="s">
        <v>52</v>
      </c>
      <c r="M4" s="82" t="s">
        <v>52</v>
      </c>
      <c r="N4" s="84" t="s">
        <v>42</v>
      </c>
      <c r="O4" s="84" t="s">
        <v>42</v>
      </c>
      <c r="P4" s="84" t="s">
        <v>48</v>
      </c>
      <c r="Q4" s="84" t="s">
        <v>48</v>
      </c>
    </row>
    <row r="5" spans="2:17" ht="25.5" x14ac:dyDescent="0.25">
      <c r="B5" s="93"/>
      <c r="C5" s="85"/>
      <c r="D5" s="93"/>
      <c r="E5" s="24" t="s">
        <v>0</v>
      </c>
      <c r="F5" s="24" t="s">
        <v>0</v>
      </c>
      <c r="G5" s="24" t="s">
        <v>0</v>
      </c>
      <c r="H5" s="24" t="s">
        <v>0</v>
      </c>
      <c r="I5" s="24" t="s">
        <v>0</v>
      </c>
      <c r="J5" s="93"/>
      <c r="K5" s="85"/>
      <c r="L5" s="83"/>
      <c r="M5" s="83"/>
      <c r="N5" s="85"/>
      <c r="O5" s="85"/>
      <c r="P5" s="85"/>
      <c r="Q5" s="85"/>
    </row>
    <row r="6" spans="2:17" x14ac:dyDescent="0.25">
      <c r="B6" s="23">
        <v>1</v>
      </c>
      <c r="C6" s="24" t="s">
        <v>11</v>
      </c>
      <c r="D6" s="27">
        <v>1</v>
      </c>
      <c r="E6" s="22">
        <v>105000</v>
      </c>
      <c r="F6" s="22">
        <v>66041</v>
      </c>
      <c r="G6" s="22">
        <v>188876.38</v>
      </c>
      <c r="H6" s="22">
        <v>103979</v>
      </c>
      <c r="I6" s="43">
        <f>AVERAGE(E6,F6,G6,H6)</f>
        <v>115974.095</v>
      </c>
      <c r="J6" s="39">
        <v>4.5</v>
      </c>
      <c r="K6" s="53">
        <v>34</v>
      </c>
      <c r="L6" s="57">
        <f>I6*J6*K6</f>
        <v>17744036.535</v>
      </c>
      <c r="M6" s="57">
        <f>ROUND(L6,0)</f>
        <v>17744037</v>
      </c>
      <c r="N6" s="44">
        <f>L6*80%</f>
        <v>14195229.228</v>
      </c>
      <c r="O6" s="44">
        <f>ROUND(N6,0)</f>
        <v>14195229</v>
      </c>
      <c r="P6" s="44">
        <f>L6*20%</f>
        <v>3548807.307</v>
      </c>
      <c r="Q6" s="44">
        <f>ROUND(P6,0)</f>
        <v>3548807</v>
      </c>
    </row>
    <row r="7" spans="2:17" ht="25.5" x14ac:dyDescent="0.25">
      <c r="B7" s="25">
        <v>2</v>
      </c>
      <c r="C7" s="24" t="s">
        <v>12</v>
      </c>
      <c r="D7" s="27">
        <v>1</v>
      </c>
      <c r="E7" s="22">
        <v>1660000</v>
      </c>
      <c r="F7" s="22">
        <v>2179342</v>
      </c>
      <c r="G7" s="22">
        <v>2179342.79</v>
      </c>
      <c r="H7" s="22">
        <v>1615332</v>
      </c>
      <c r="I7" s="43">
        <f t="shared" ref="I7:I12" si="0">AVERAGE(E7,F7,G7,H7)</f>
        <v>1908504.1975</v>
      </c>
      <c r="J7" s="39">
        <v>4.5</v>
      </c>
      <c r="K7" s="53">
        <v>34</v>
      </c>
      <c r="L7" s="57">
        <f t="shared" ref="L7:L12" si="1">I7*J7*K7</f>
        <v>292001142.21749997</v>
      </c>
      <c r="M7" s="57">
        <f t="shared" ref="M7:M12" si="2">ROUND(L7,0)</f>
        <v>292001142</v>
      </c>
      <c r="N7" s="44">
        <f t="shared" ref="N7:N12" si="3">L7*80%</f>
        <v>233600913.77399999</v>
      </c>
      <c r="O7" s="44">
        <f t="shared" ref="O7:O12" si="4">ROUND(N7,0)</f>
        <v>233600914</v>
      </c>
      <c r="P7" s="44">
        <f t="shared" ref="P7:P12" si="5">L7*20%</f>
        <v>58400228.443499997</v>
      </c>
      <c r="Q7" s="44">
        <f t="shared" ref="Q7:Q12" si="6">ROUND(P7,0)</f>
        <v>58400228</v>
      </c>
    </row>
    <row r="8" spans="2:17" ht="38.25" x14ac:dyDescent="0.25">
      <c r="B8" s="25">
        <v>3</v>
      </c>
      <c r="C8" s="24" t="s">
        <v>13</v>
      </c>
      <c r="D8" s="27">
        <v>1</v>
      </c>
      <c r="E8" s="22">
        <v>55000</v>
      </c>
      <c r="F8" s="22">
        <v>66041</v>
      </c>
      <c r="G8" s="22">
        <v>25095.46</v>
      </c>
      <c r="H8" s="22">
        <v>53057</v>
      </c>
      <c r="I8" s="43">
        <f t="shared" si="0"/>
        <v>49798.364999999998</v>
      </c>
      <c r="J8" s="39">
        <v>4.5</v>
      </c>
      <c r="K8" s="53">
        <v>34</v>
      </c>
      <c r="L8" s="57">
        <f t="shared" si="1"/>
        <v>7619149.8449999997</v>
      </c>
      <c r="M8" s="57">
        <f t="shared" si="2"/>
        <v>7619150</v>
      </c>
      <c r="N8" s="44">
        <f t="shared" si="3"/>
        <v>6095319.8760000002</v>
      </c>
      <c r="O8" s="44">
        <f t="shared" si="4"/>
        <v>6095320</v>
      </c>
      <c r="P8" s="44">
        <f t="shared" si="5"/>
        <v>1523829.969</v>
      </c>
      <c r="Q8" s="44">
        <f t="shared" si="6"/>
        <v>1523830</v>
      </c>
    </row>
    <row r="9" spans="2:17" x14ac:dyDescent="0.25">
      <c r="B9" s="25">
        <v>4</v>
      </c>
      <c r="C9" s="24" t="s">
        <v>14</v>
      </c>
      <c r="D9" s="27">
        <v>1</v>
      </c>
      <c r="E9" s="22">
        <v>600000</v>
      </c>
      <c r="F9" s="22">
        <v>660407</v>
      </c>
      <c r="G9" s="22">
        <v>429264.49</v>
      </c>
      <c r="H9" s="22">
        <v>570413</v>
      </c>
      <c r="I9" s="43">
        <f t="shared" si="0"/>
        <v>565021.12250000006</v>
      </c>
      <c r="J9" s="39">
        <v>4.5</v>
      </c>
      <c r="K9" s="53">
        <v>34</v>
      </c>
      <c r="L9" s="57">
        <f t="shared" si="1"/>
        <v>86448231.742500022</v>
      </c>
      <c r="M9" s="57">
        <f t="shared" si="2"/>
        <v>86448232</v>
      </c>
      <c r="N9" s="44">
        <f t="shared" si="3"/>
        <v>69158585.394000024</v>
      </c>
      <c r="O9" s="44">
        <f t="shared" si="4"/>
        <v>69158585</v>
      </c>
      <c r="P9" s="44">
        <f t="shared" si="5"/>
        <v>17289646.348500006</v>
      </c>
      <c r="Q9" s="44">
        <f t="shared" si="6"/>
        <v>17289646</v>
      </c>
    </row>
    <row r="10" spans="2:17" ht="25.5" x14ac:dyDescent="0.25">
      <c r="B10" s="25">
        <v>5</v>
      </c>
      <c r="C10" s="24" t="s">
        <v>15</v>
      </c>
      <c r="D10" s="27">
        <v>1</v>
      </c>
      <c r="E10" s="22">
        <v>40000</v>
      </c>
      <c r="F10" s="22">
        <v>39624</v>
      </c>
      <c r="G10" s="22">
        <v>35001.57</v>
      </c>
      <c r="H10" s="22">
        <v>38469</v>
      </c>
      <c r="I10" s="43">
        <f t="shared" si="0"/>
        <v>38273.642500000002</v>
      </c>
      <c r="J10" s="39">
        <v>4.5</v>
      </c>
      <c r="K10" s="53">
        <v>34</v>
      </c>
      <c r="L10" s="57">
        <f t="shared" si="1"/>
        <v>5855867.3025000002</v>
      </c>
      <c r="M10" s="57">
        <f t="shared" si="2"/>
        <v>5855867</v>
      </c>
      <c r="N10" s="44">
        <f t="shared" si="3"/>
        <v>4684693.8420000002</v>
      </c>
      <c r="O10" s="44">
        <f t="shared" si="4"/>
        <v>4684694</v>
      </c>
      <c r="P10" s="44">
        <f t="shared" si="5"/>
        <v>1171173.4605</v>
      </c>
      <c r="Q10" s="44">
        <f>ROUNDUP(P10,0)</f>
        <v>1171174</v>
      </c>
    </row>
    <row r="11" spans="2:17" ht="38.25" x14ac:dyDescent="0.25">
      <c r="B11" s="25">
        <v>6</v>
      </c>
      <c r="C11" s="26" t="s">
        <v>17</v>
      </c>
      <c r="D11" s="27">
        <v>1</v>
      </c>
      <c r="E11" s="22">
        <v>70000</v>
      </c>
      <c r="F11" s="22">
        <v>59437</v>
      </c>
      <c r="G11" s="22">
        <v>15189.36</v>
      </c>
      <c r="H11" s="22">
        <v>60451</v>
      </c>
      <c r="I11" s="43">
        <f t="shared" si="0"/>
        <v>51269.34</v>
      </c>
      <c r="J11" s="39">
        <v>4.5</v>
      </c>
      <c r="K11" s="53">
        <v>34</v>
      </c>
      <c r="L11" s="57">
        <f t="shared" si="1"/>
        <v>7844209.0199999986</v>
      </c>
      <c r="M11" s="57">
        <f t="shared" si="2"/>
        <v>7844209</v>
      </c>
      <c r="N11" s="44">
        <f t="shared" si="3"/>
        <v>6275367.2159999991</v>
      </c>
      <c r="O11" s="44">
        <f t="shared" si="4"/>
        <v>6275367</v>
      </c>
      <c r="P11" s="44">
        <f t="shared" si="5"/>
        <v>1568841.8039999998</v>
      </c>
      <c r="Q11" s="44">
        <f t="shared" si="6"/>
        <v>1568842</v>
      </c>
    </row>
    <row r="12" spans="2:17" ht="38.25" x14ac:dyDescent="0.25">
      <c r="B12" s="25">
        <v>7</v>
      </c>
      <c r="C12" s="26" t="s">
        <v>16</v>
      </c>
      <c r="D12" s="27">
        <v>1</v>
      </c>
      <c r="E12" s="22">
        <v>900000</v>
      </c>
      <c r="F12" s="22">
        <v>231142</v>
      </c>
      <c r="G12" s="22">
        <v>429264.49</v>
      </c>
      <c r="H12" s="22">
        <v>855637</v>
      </c>
      <c r="I12" s="43">
        <f t="shared" si="0"/>
        <v>604010.87250000006</v>
      </c>
      <c r="J12" s="39">
        <v>4.5</v>
      </c>
      <c r="K12" s="53">
        <v>34</v>
      </c>
      <c r="L12" s="57">
        <f t="shared" si="1"/>
        <v>92413663.492500022</v>
      </c>
      <c r="M12" s="57">
        <f t="shared" si="2"/>
        <v>92413663</v>
      </c>
      <c r="N12" s="44">
        <f t="shared" si="3"/>
        <v>73930930.794000015</v>
      </c>
      <c r="O12" s="44">
        <f t="shared" si="4"/>
        <v>73930931</v>
      </c>
      <c r="P12" s="44">
        <f t="shared" si="5"/>
        <v>18482732.698500004</v>
      </c>
      <c r="Q12" s="44">
        <f t="shared" si="6"/>
        <v>18482733</v>
      </c>
    </row>
    <row r="13" spans="2:17" x14ac:dyDescent="0.25">
      <c r="B13" s="96" t="s">
        <v>29</v>
      </c>
      <c r="C13" s="97"/>
      <c r="D13" s="97"/>
      <c r="E13" s="28">
        <f>SUM(E6:E12)</f>
        <v>3430000</v>
      </c>
      <c r="F13" s="28">
        <f>SUM(F6:F12)</f>
        <v>3302034</v>
      </c>
      <c r="G13" s="42">
        <f t="shared" ref="G13:I13" si="7">SUM(G6:G12)</f>
        <v>3302034.54</v>
      </c>
      <c r="H13" s="28">
        <f t="shared" si="7"/>
        <v>3297338</v>
      </c>
      <c r="I13" s="42">
        <f t="shared" si="7"/>
        <v>3332851.6350000002</v>
      </c>
      <c r="J13" s="30"/>
      <c r="K13" s="30"/>
      <c r="L13" s="67">
        <f t="shared" ref="L13:P13" si="8">SUM(L6:L12)</f>
        <v>509926300.15500003</v>
      </c>
      <c r="M13" s="56">
        <f>SUM(M6:M12)</f>
        <v>509926300</v>
      </c>
      <c r="N13" s="42">
        <f t="shared" si="8"/>
        <v>407941040.12400001</v>
      </c>
      <c r="O13" s="42">
        <f>SUM(O6:O12)</f>
        <v>407941040</v>
      </c>
      <c r="P13" s="42">
        <f t="shared" si="8"/>
        <v>101985260.031</v>
      </c>
      <c r="Q13" s="42">
        <f t="shared" ref="Q13" si="9">SUM(Q6:Q12)</f>
        <v>101985260</v>
      </c>
    </row>
    <row r="14" spans="2:17" ht="15.75" x14ac:dyDescent="0.25">
      <c r="B14" s="37" t="s">
        <v>30</v>
      </c>
      <c r="C14" s="38" t="s">
        <v>63</v>
      </c>
      <c r="D14" s="17"/>
      <c r="E14" s="18"/>
      <c r="F14" s="19"/>
      <c r="G14" s="20"/>
      <c r="H14" s="19"/>
      <c r="I14" s="21"/>
      <c r="J14" s="21"/>
      <c r="K14" s="21"/>
      <c r="L14" s="21"/>
      <c r="M14" s="21"/>
      <c r="N14" s="18"/>
      <c r="O14" s="18"/>
      <c r="P14" s="18"/>
      <c r="Q14" s="18"/>
    </row>
    <row r="16" spans="2:17" ht="15.75" x14ac:dyDescent="0.25">
      <c r="B16" s="37" t="s">
        <v>30</v>
      </c>
      <c r="C16" s="3" t="s">
        <v>50</v>
      </c>
      <c r="D16" s="9"/>
      <c r="E16" s="10"/>
      <c r="H16" s="98">
        <f>O13</f>
        <v>407941040</v>
      </c>
      <c r="I16" s="98"/>
    </row>
    <row r="17" spans="2:9" ht="15.75" x14ac:dyDescent="0.25">
      <c r="B17" s="37" t="s">
        <v>30</v>
      </c>
      <c r="C17" s="3" t="s">
        <v>51</v>
      </c>
      <c r="D17" s="9"/>
      <c r="E17" s="10"/>
      <c r="H17" s="98">
        <f>Q13</f>
        <v>101985260</v>
      </c>
      <c r="I17" s="98"/>
    </row>
    <row r="18" spans="2:9" ht="15.75" x14ac:dyDescent="0.25">
      <c r="B18" s="37" t="s">
        <v>30</v>
      </c>
      <c r="C18" s="3" t="s">
        <v>53</v>
      </c>
      <c r="D18" s="9"/>
      <c r="E18" s="10"/>
      <c r="H18" s="98">
        <f>H16+H17</f>
        <v>509926300</v>
      </c>
      <c r="I18" s="98"/>
    </row>
  </sheetData>
  <mergeCells count="17">
    <mergeCell ref="Q4:Q5"/>
    <mergeCell ref="B1:Q2"/>
    <mergeCell ref="B3:Q3"/>
    <mergeCell ref="O4:O5"/>
    <mergeCell ref="B4:B5"/>
    <mergeCell ref="C4:C5"/>
    <mergeCell ref="D4:D5"/>
    <mergeCell ref="J4:J5"/>
    <mergeCell ref="K4:K5"/>
    <mergeCell ref="L4:L5"/>
    <mergeCell ref="N4:N5"/>
    <mergeCell ref="M4:M5"/>
    <mergeCell ref="H16:I16"/>
    <mergeCell ref="H17:I17"/>
    <mergeCell ref="H18:I18"/>
    <mergeCell ref="P4:P5"/>
    <mergeCell ref="B13:D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BD0789-46E5-4EED-BB28-57AAC42AD78E}">
  <dimension ref="A1:P18"/>
  <sheetViews>
    <sheetView topLeftCell="E3" zoomScale="112" workbookViewId="0">
      <selection activeCell="E18" sqref="E18"/>
    </sheetView>
  </sheetViews>
  <sheetFormatPr baseColWidth="10" defaultRowHeight="15" x14ac:dyDescent="0.25"/>
  <cols>
    <col min="1" max="1" width="6.140625" customWidth="1"/>
    <col min="3" max="3" width="7.140625" customWidth="1"/>
    <col min="8" max="8" width="9.28515625" customWidth="1"/>
    <col min="9" max="9" width="6.85546875" customWidth="1"/>
    <col min="10" max="10" width="7.140625" customWidth="1"/>
    <col min="11" max="11" width="13.42578125" hidden="1" customWidth="1"/>
    <col min="12" max="12" width="10.42578125" customWidth="1"/>
    <col min="13" max="13" width="13" hidden="1" customWidth="1"/>
    <col min="14" max="14" width="9.7109375" customWidth="1"/>
    <col min="15" max="15" width="11" hidden="1" customWidth="1"/>
    <col min="16" max="16" width="9.7109375" customWidth="1"/>
  </cols>
  <sheetData>
    <row r="1" spans="1:16" ht="28.9" customHeight="1" x14ac:dyDescent="0.25">
      <c r="A1" s="99" t="s">
        <v>61</v>
      </c>
      <c r="B1" s="88"/>
      <c r="C1" s="88"/>
      <c r="D1" s="88"/>
      <c r="E1" s="88"/>
      <c r="F1" s="88"/>
      <c r="G1" s="88"/>
      <c r="H1" s="88"/>
      <c r="I1" s="88"/>
      <c r="J1" s="88"/>
      <c r="K1" s="88"/>
      <c r="L1" s="88"/>
      <c r="M1" s="88"/>
      <c r="N1" s="88"/>
      <c r="O1" s="88"/>
      <c r="P1" s="88"/>
    </row>
    <row r="2" spans="1:16" ht="28.9" customHeight="1" x14ac:dyDescent="0.25">
      <c r="A2" s="99"/>
      <c r="B2" s="88"/>
      <c r="C2" s="88"/>
      <c r="D2" s="88"/>
      <c r="E2" s="88"/>
      <c r="F2" s="88"/>
      <c r="G2" s="88"/>
      <c r="H2" s="88"/>
      <c r="I2" s="88"/>
      <c r="J2" s="88"/>
      <c r="K2" s="88"/>
      <c r="L2" s="88"/>
      <c r="M2" s="88"/>
      <c r="N2" s="88"/>
      <c r="O2" s="88"/>
      <c r="P2" s="88"/>
    </row>
    <row r="3" spans="1:16" ht="21" customHeight="1" x14ac:dyDescent="0.25">
      <c r="A3" s="89" t="s">
        <v>46</v>
      </c>
      <c r="B3" s="90"/>
      <c r="C3" s="90"/>
      <c r="D3" s="90"/>
      <c r="E3" s="90"/>
      <c r="F3" s="90"/>
      <c r="G3" s="90"/>
      <c r="H3" s="90"/>
      <c r="I3" s="90"/>
      <c r="J3" s="90"/>
      <c r="K3" s="90"/>
      <c r="L3" s="90"/>
      <c r="M3" s="90"/>
      <c r="N3" s="90"/>
      <c r="O3" s="90"/>
      <c r="P3" s="90"/>
    </row>
    <row r="4" spans="1:16" ht="51" x14ac:dyDescent="0.25">
      <c r="A4" s="85" t="s">
        <v>18</v>
      </c>
      <c r="B4" s="94" t="s">
        <v>4</v>
      </c>
      <c r="C4" s="85" t="s">
        <v>27</v>
      </c>
      <c r="D4" s="29" t="s">
        <v>22</v>
      </c>
      <c r="E4" s="29" t="s">
        <v>19</v>
      </c>
      <c r="F4" s="29" t="s">
        <v>21</v>
      </c>
      <c r="G4" s="29" t="s">
        <v>20</v>
      </c>
      <c r="H4" s="31" t="s">
        <v>9</v>
      </c>
      <c r="I4" s="85" t="s">
        <v>27</v>
      </c>
      <c r="J4" s="84" t="s">
        <v>41</v>
      </c>
      <c r="K4" s="82" t="s">
        <v>55</v>
      </c>
      <c r="L4" s="82" t="s">
        <v>55</v>
      </c>
      <c r="M4" s="84" t="s">
        <v>42</v>
      </c>
      <c r="N4" s="84" t="s">
        <v>42</v>
      </c>
      <c r="O4" s="84" t="s">
        <v>48</v>
      </c>
      <c r="P4" s="93" t="s">
        <v>48</v>
      </c>
    </row>
    <row r="5" spans="1:16" ht="25.5" x14ac:dyDescent="0.25">
      <c r="A5" s="93"/>
      <c r="B5" s="85"/>
      <c r="C5" s="93"/>
      <c r="D5" s="24" t="s">
        <v>0</v>
      </c>
      <c r="E5" s="24" t="s">
        <v>0</v>
      </c>
      <c r="F5" s="24" t="s">
        <v>0</v>
      </c>
      <c r="G5" s="24" t="s">
        <v>0</v>
      </c>
      <c r="H5" s="24" t="s">
        <v>0</v>
      </c>
      <c r="I5" s="93"/>
      <c r="J5" s="85"/>
      <c r="K5" s="83"/>
      <c r="L5" s="83"/>
      <c r="M5" s="85"/>
      <c r="N5" s="85"/>
      <c r="O5" s="85"/>
      <c r="P5" s="93"/>
    </row>
    <row r="6" spans="1:16" x14ac:dyDescent="0.25">
      <c r="A6" s="23">
        <v>1</v>
      </c>
      <c r="B6" s="24" t="s">
        <v>11</v>
      </c>
      <c r="C6" s="27">
        <v>1</v>
      </c>
      <c r="D6" s="22">
        <v>105000</v>
      </c>
      <c r="E6" s="22">
        <v>66041</v>
      </c>
      <c r="F6" s="22">
        <v>188876.38</v>
      </c>
      <c r="G6" s="22">
        <v>103979</v>
      </c>
      <c r="H6" s="43">
        <f>AVERAGE(D6,E6,F6,G6)</f>
        <v>115974.095</v>
      </c>
      <c r="I6" s="39">
        <v>4.5</v>
      </c>
      <c r="J6" s="53">
        <v>20</v>
      </c>
      <c r="K6" s="57">
        <f>H6*I6*J6</f>
        <v>10437668.550000001</v>
      </c>
      <c r="L6" s="57">
        <f>ROUND(K6,0)</f>
        <v>10437669</v>
      </c>
      <c r="M6" s="75">
        <f>K6*80%</f>
        <v>8350134.8400000008</v>
      </c>
      <c r="N6" s="44">
        <f>ROUND(M6,0)</f>
        <v>8350135</v>
      </c>
      <c r="O6" s="75">
        <f>K6*20%</f>
        <v>2087533.7100000002</v>
      </c>
      <c r="P6" s="44">
        <f>ROUND(O6,0)</f>
        <v>2087534</v>
      </c>
    </row>
    <row r="7" spans="1:16" ht="25.5" x14ac:dyDescent="0.25">
      <c r="A7" s="25">
        <v>2</v>
      </c>
      <c r="B7" s="24" t="s">
        <v>12</v>
      </c>
      <c r="C7" s="27">
        <v>1</v>
      </c>
      <c r="D7" s="22">
        <v>1660000</v>
      </c>
      <c r="E7" s="22">
        <v>2179342</v>
      </c>
      <c r="F7" s="22">
        <v>2179342.79</v>
      </c>
      <c r="G7" s="22">
        <v>1615332</v>
      </c>
      <c r="H7" s="43">
        <f t="shared" ref="H7:H12" si="0">AVERAGE(D7,E7,F7,G7)</f>
        <v>1908504.1975</v>
      </c>
      <c r="I7" s="39">
        <v>4.5</v>
      </c>
      <c r="J7" s="53">
        <v>20</v>
      </c>
      <c r="K7" s="57">
        <f t="shared" ref="K7:K12" si="1">H7*I7*J7</f>
        <v>171765377.77500001</v>
      </c>
      <c r="L7" s="57">
        <f t="shared" ref="L7:L12" si="2">ROUND(K7,0)</f>
        <v>171765378</v>
      </c>
      <c r="M7" s="75">
        <f t="shared" ref="M7:M12" si="3">K7*80%</f>
        <v>137412302.22</v>
      </c>
      <c r="N7" s="44">
        <f t="shared" ref="N7:N10" si="4">ROUND(M7,0)</f>
        <v>137412302</v>
      </c>
      <c r="O7" s="75">
        <f t="shared" ref="O7:O12" si="5">K7*20%</f>
        <v>34353075.555</v>
      </c>
      <c r="P7" s="44">
        <f>ROUNDDOWN(O7,0)</f>
        <v>34353075</v>
      </c>
    </row>
    <row r="8" spans="1:16" ht="38.25" x14ac:dyDescent="0.25">
      <c r="A8" s="25">
        <v>3</v>
      </c>
      <c r="B8" s="24" t="s">
        <v>13</v>
      </c>
      <c r="C8" s="27">
        <v>1</v>
      </c>
      <c r="D8" s="22">
        <v>55000</v>
      </c>
      <c r="E8" s="22">
        <v>66041</v>
      </c>
      <c r="F8" s="22">
        <v>25095.46</v>
      </c>
      <c r="G8" s="22">
        <v>53057</v>
      </c>
      <c r="H8" s="43">
        <f t="shared" si="0"/>
        <v>49798.364999999998</v>
      </c>
      <c r="I8" s="39">
        <v>4.5</v>
      </c>
      <c r="J8" s="53">
        <v>20</v>
      </c>
      <c r="K8" s="57">
        <f t="shared" si="1"/>
        <v>4481852.8499999996</v>
      </c>
      <c r="L8" s="57">
        <f t="shared" si="2"/>
        <v>4481853</v>
      </c>
      <c r="M8" s="75">
        <f t="shared" si="3"/>
        <v>3585482.28</v>
      </c>
      <c r="N8" s="44">
        <f>ROUNDUP(M8,0)</f>
        <v>3585483</v>
      </c>
      <c r="O8" s="75">
        <f t="shared" si="5"/>
        <v>896370.57</v>
      </c>
      <c r="P8" s="44">
        <f>ROUNDDOWN(O8,0)</f>
        <v>896370</v>
      </c>
    </row>
    <row r="9" spans="1:16" x14ac:dyDescent="0.25">
      <c r="A9" s="25">
        <v>4</v>
      </c>
      <c r="B9" s="24" t="s">
        <v>14</v>
      </c>
      <c r="C9" s="27">
        <v>1</v>
      </c>
      <c r="D9" s="22">
        <v>600000</v>
      </c>
      <c r="E9" s="22">
        <v>660407</v>
      </c>
      <c r="F9" s="22">
        <v>429264.49</v>
      </c>
      <c r="G9" s="22">
        <v>570413</v>
      </c>
      <c r="H9" s="43">
        <f t="shared" si="0"/>
        <v>565021.12250000006</v>
      </c>
      <c r="I9" s="39">
        <v>4.5</v>
      </c>
      <c r="J9" s="53">
        <v>20</v>
      </c>
      <c r="K9" s="57">
        <f t="shared" si="1"/>
        <v>50851901.025000006</v>
      </c>
      <c r="L9" s="57">
        <f t="shared" si="2"/>
        <v>50851901</v>
      </c>
      <c r="M9" s="75">
        <f t="shared" si="3"/>
        <v>40681520.820000008</v>
      </c>
      <c r="N9" s="44">
        <f t="shared" si="4"/>
        <v>40681521</v>
      </c>
      <c r="O9" s="75">
        <f t="shared" si="5"/>
        <v>10170380.205000002</v>
      </c>
      <c r="P9" s="44">
        <f t="shared" ref="P9:P10" si="6">ROUND(O9,0)</f>
        <v>10170380</v>
      </c>
    </row>
    <row r="10" spans="1:16" ht="25.5" x14ac:dyDescent="0.25">
      <c r="A10" s="25">
        <v>5</v>
      </c>
      <c r="B10" s="24" t="s">
        <v>15</v>
      </c>
      <c r="C10" s="27">
        <v>1</v>
      </c>
      <c r="D10" s="22">
        <v>40000</v>
      </c>
      <c r="E10" s="22">
        <v>39624</v>
      </c>
      <c r="F10" s="22">
        <v>35001.57</v>
      </c>
      <c r="G10" s="22">
        <v>38469</v>
      </c>
      <c r="H10" s="43">
        <f t="shared" si="0"/>
        <v>38273.642500000002</v>
      </c>
      <c r="I10" s="39">
        <v>4.5</v>
      </c>
      <c r="J10" s="53">
        <v>20</v>
      </c>
      <c r="K10" s="57">
        <f t="shared" si="1"/>
        <v>3444627.8250000002</v>
      </c>
      <c r="L10" s="57">
        <f t="shared" si="2"/>
        <v>3444628</v>
      </c>
      <c r="M10" s="75">
        <f t="shared" si="3"/>
        <v>2755702.2600000002</v>
      </c>
      <c r="N10" s="44">
        <f t="shared" si="4"/>
        <v>2755702</v>
      </c>
      <c r="O10" s="75">
        <f t="shared" si="5"/>
        <v>688925.56500000006</v>
      </c>
      <c r="P10" s="44">
        <f t="shared" si="6"/>
        <v>688926</v>
      </c>
    </row>
    <row r="11" spans="1:16" ht="38.25" x14ac:dyDescent="0.25">
      <c r="A11" s="25">
        <v>6</v>
      </c>
      <c r="B11" s="26" t="s">
        <v>17</v>
      </c>
      <c r="C11" s="27">
        <v>1</v>
      </c>
      <c r="D11" s="22">
        <v>70000</v>
      </c>
      <c r="E11" s="22">
        <v>59437</v>
      </c>
      <c r="F11" s="22">
        <v>15189.36</v>
      </c>
      <c r="G11" s="22">
        <v>60451</v>
      </c>
      <c r="H11" s="43">
        <f t="shared" si="0"/>
        <v>51269.34</v>
      </c>
      <c r="I11" s="39">
        <v>4.5</v>
      </c>
      <c r="J11" s="53">
        <v>20</v>
      </c>
      <c r="K11" s="57">
        <f t="shared" si="1"/>
        <v>4614240.5999999996</v>
      </c>
      <c r="L11" s="57">
        <f t="shared" si="2"/>
        <v>4614241</v>
      </c>
      <c r="M11" s="75">
        <f t="shared" si="3"/>
        <v>3691392.48</v>
      </c>
      <c r="N11" s="44">
        <f>ROUNDUP(M11,0)</f>
        <v>3691393</v>
      </c>
      <c r="O11" s="75">
        <f t="shared" si="5"/>
        <v>922848.12</v>
      </c>
      <c r="P11" s="44">
        <f>ROUNDUP(O11,0)</f>
        <v>922849</v>
      </c>
    </row>
    <row r="12" spans="1:16" ht="38.25" x14ac:dyDescent="0.25">
      <c r="A12" s="25">
        <v>7</v>
      </c>
      <c r="B12" s="26" t="s">
        <v>16</v>
      </c>
      <c r="C12" s="27">
        <v>1</v>
      </c>
      <c r="D12" s="22">
        <v>900000</v>
      </c>
      <c r="E12" s="22">
        <v>231142</v>
      </c>
      <c r="F12" s="22">
        <v>429264.49</v>
      </c>
      <c r="G12" s="22">
        <v>855637</v>
      </c>
      <c r="H12" s="43">
        <f t="shared" si="0"/>
        <v>604010.87250000006</v>
      </c>
      <c r="I12" s="39">
        <v>4.5</v>
      </c>
      <c r="J12" s="53">
        <v>20</v>
      </c>
      <c r="K12" s="57">
        <f t="shared" si="1"/>
        <v>54360978.525000006</v>
      </c>
      <c r="L12" s="57">
        <f t="shared" si="2"/>
        <v>54360979</v>
      </c>
      <c r="M12" s="75">
        <f t="shared" si="3"/>
        <v>43488782.820000008</v>
      </c>
      <c r="N12" s="44">
        <f>ROUND(M12,0)</f>
        <v>43488783</v>
      </c>
      <c r="O12" s="75">
        <f t="shared" si="5"/>
        <v>10872195.705000002</v>
      </c>
      <c r="P12" s="44">
        <f>ROUNDUP(O12,0)</f>
        <v>10872196</v>
      </c>
    </row>
    <row r="13" spans="1:16" x14ac:dyDescent="0.25">
      <c r="A13" s="96" t="s">
        <v>29</v>
      </c>
      <c r="B13" s="97"/>
      <c r="C13" s="97"/>
      <c r="D13" s="28">
        <f>SUM(D6:D12)</f>
        <v>3430000</v>
      </c>
      <c r="E13" s="28">
        <f>SUM(E6:E12)</f>
        <v>3302034</v>
      </c>
      <c r="F13" s="42">
        <f t="shared" ref="F13:H13" si="7">SUM(F6:F12)</f>
        <v>3302034.54</v>
      </c>
      <c r="G13" s="28">
        <f t="shared" si="7"/>
        <v>3297338</v>
      </c>
      <c r="H13" s="42">
        <f t="shared" si="7"/>
        <v>3332851.6350000002</v>
      </c>
      <c r="I13" s="30"/>
      <c r="J13" s="30"/>
      <c r="K13" s="69">
        <f t="shared" ref="K13" si="8">SUM(K6:K12)</f>
        <v>299956647.14999998</v>
      </c>
      <c r="L13" s="67">
        <f>SUM(L6:L12)</f>
        <v>299956649</v>
      </c>
      <c r="M13" s="65">
        <f>SUM(M6:M12)</f>
        <v>239965317.72000003</v>
      </c>
      <c r="N13" s="42">
        <f>SUM(N6:N12)</f>
        <v>239965319</v>
      </c>
      <c r="O13" s="42">
        <f>SUM(O6:O12)</f>
        <v>59991329.430000007</v>
      </c>
      <c r="P13" s="76">
        <f>SUM(P6:P12)</f>
        <v>59991330</v>
      </c>
    </row>
    <row r="14" spans="1:16" ht="15.75" x14ac:dyDescent="0.25">
      <c r="A14" s="37" t="s">
        <v>30</v>
      </c>
      <c r="B14" s="38" t="s">
        <v>63</v>
      </c>
      <c r="C14" s="17"/>
      <c r="D14" s="18"/>
      <c r="E14" s="19"/>
      <c r="F14" s="20"/>
      <c r="G14" s="19"/>
      <c r="H14" s="21"/>
      <c r="I14" s="21"/>
      <c r="J14" s="21"/>
      <c r="K14" s="21"/>
      <c r="L14" s="21"/>
      <c r="M14" s="18"/>
      <c r="N14" s="18"/>
      <c r="O14" s="18"/>
      <c r="P14" s="18"/>
    </row>
    <row r="16" spans="1:16" ht="15.75" x14ac:dyDescent="0.25">
      <c r="A16" s="37" t="s">
        <v>30</v>
      </c>
      <c r="B16" s="3" t="s">
        <v>50</v>
      </c>
      <c r="C16" s="9"/>
      <c r="D16" s="10"/>
      <c r="G16" s="86">
        <f>N13</f>
        <v>239965319</v>
      </c>
      <c r="H16" s="86"/>
    </row>
    <row r="17" spans="1:8" ht="15.75" x14ac:dyDescent="0.25">
      <c r="A17" s="37" t="s">
        <v>30</v>
      </c>
      <c r="B17" s="3" t="s">
        <v>51</v>
      </c>
      <c r="C17" s="9"/>
      <c r="D17" s="10"/>
      <c r="G17" s="86">
        <f>P13</f>
        <v>59991330</v>
      </c>
      <c r="H17" s="86"/>
    </row>
    <row r="18" spans="1:8" ht="15.75" x14ac:dyDescent="0.25">
      <c r="A18" s="37" t="s">
        <v>30</v>
      </c>
      <c r="B18" s="3" t="s">
        <v>56</v>
      </c>
      <c r="C18" s="9"/>
      <c r="D18" s="10"/>
      <c r="G18" s="86">
        <f>G16+G17</f>
        <v>299956649</v>
      </c>
      <c r="H18" s="86"/>
    </row>
  </sheetData>
  <mergeCells count="17">
    <mergeCell ref="P4:P5"/>
    <mergeCell ref="A1:P2"/>
    <mergeCell ref="A3:P3"/>
    <mergeCell ref="A4:A5"/>
    <mergeCell ref="B4:B5"/>
    <mergeCell ref="C4:C5"/>
    <mergeCell ref="I4:I5"/>
    <mergeCell ref="J4:J5"/>
    <mergeCell ref="K4:K5"/>
    <mergeCell ref="M4:M5"/>
    <mergeCell ref="L4:L5"/>
    <mergeCell ref="N4:N5"/>
    <mergeCell ref="G16:H16"/>
    <mergeCell ref="G17:H17"/>
    <mergeCell ref="G18:H18"/>
    <mergeCell ref="O4:O5"/>
    <mergeCell ref="A13:C1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B1C84-8401-41BF-AFD4-0BE18001F785}">
  <dimension ref="A1:P18"/>
  <sheetViews>
    <sheetView zoomScale="108" workbookViewId="0">
      <selection activeCell="A3" sqref="A3:O3"/>
    </sheetView>
  </sheetViews>
  <sheetFormatPr baseColWidth="10" defaultRowHeight="15" x14ac:dyDescent="0.25"/>
  <cols>
    <col min="1" max="1" width="6.140625" customWidth="1"/>
    <col min="3" max="3" width="7.140625" customWidth="1"/>
    <col min="8" max="8" width="9.28515625" customWidth="1"/>
    <col min="9" max="9" width="6.85546875" customWidth="1"/>
    <col min="10" max="10" width="7.140625" customWidth="1"/>
    <col min="11" max="11" width="11.42578125" hidden="1" customWidth="1"/>
    <col min="12" max="12" width="10.42578125" customWidth="1"/>
    <col min="13" max="13" width="13.140625" hidden="1" customWidth="1"/>
    <col min="14" max="14" width="13.140625" customWidth="1"/>
    <col min="15" max="15" width="14.140625" hidden="1" customWidth="1"/>
    <col min="16" max="16" width="14.140625" customWidth="1"/>
  </cols>
  <sheetData>
    <row r="1" spans="1:16" ht="28.15" customHeight="1" x14ac:dyDescent="0.25">
      <c r="A1" s="99" t="s">
        <v>5</v>
      </c>
      <c r="B1" s="88"/>
      <c r="C1" s="88"/>
      <c r="D1" s="88"/>
      <c r="E1" s="88"/>
      <c r="F1" s="88"/>
      <c r="G1" s="88"/>
      <c r="H1" s="88"/>
      <c r="I1" s="88"/>
      <c r="J1" s="88"/>
      <c r="K1" s="88"/>
      <c r="L1" s="88"/>
      <c r="M1" s="88"/>
      <c r="N1" s="88"/>
      <c r="O1" s="88"/>
    </row>
    <row r="2" spans="1:16" ht="28.9" customHeight="1" x14ac:dyDescent="0.25">
      <c r="A2" s="89"/>
      <c r="B2" s="90"/>
      <c r="C2" s="90"/>
      <c r="D2" s="90"/>
      <c r="E2" s="90"/>
      <c r="F2" s="90"/>
      <c r="G2" s="90"/>
      <c r="H2" s="90"/>
      <c r="I2" s="90"/>
      <c r="J2" s="90"/>
      <c r="K2" s="90"/>
      <c r="L2" s="90"/>
      <c r="M2" s="90"/>
      <c r="N2" s="90"/>
      <c r="O2" s="90"/>
    </row>
    <row r="3" spans="1:16" ht="21" customHeight="1" x14ac:dyDescent="0.25">
      <c r="A3" s="100" t="s">
        <v>47</v>
      </c>
      <c r="B3" s="101"/>
      <c r="C3" s="101"/>
      <c r="D3" s="101"/>
      <c r="E3" s="101"/>
      <c r="F3" s="101"/>
      <c r="G3" s="101"/>
      <c r="H3" s="101"/>
      <c r="I3" s="101"/>
      <c r="J3" s="101"/>
      <c r="K3" s="101"/>
      <c r="L3" s="101"/>
      <c r="M3" s="101"/>
      <c r="N3" s="101"/>
      <c r="O3" s="102"/>
    </row>
    <row r="4" spans="1:16" ht="51" x14ac:dyDescent="0.25">
      <c r="A4" s="85" t="s">
        <v>18</v>
      </c>
      <c r="B4" s="94" t="s">
        <v>4</v>
      </c>
      <c r="C4" s="85" t="s">
        <v>27</v>
      </c>
      <c r="D4" s="29" t="s">
        <v>22</v>
      </c>
      <c r="E4" s="29" t="s">
        <v>19</v>
      </c>
      <c r="F4" s="29" t="s">
        <v>21</v>
      </c>
      <c r="G4" s="29" t="s">
        <v>20</v>
      </c>
      <c r="H4" s="31" t="s">
        <v>9</v>
      </c>
      <c r="I4" s="85" t="s">
        <v>27</v>
      </c>
      <c r="J4" s="84" t="s">
        <v>41</v>
      </c>
      <c r="K4" s="82" t="s">
        <v>57</v>
      </c>
      <c r="L4" s="82" t="s">
        <v>57</v>
      </c>
      <c r="M4" s="84" t="s">
        <v>42</v>
      </c>
      <c r="N4" s="84" t="s">
        <v>42</v>
      </c>
      <c r="O4" s="84" t="s">
        <v>48</v>
      </c>
      <c r="P4" s="84" t="s">
        <v>48</v>
      </c>
    </row>
    <row r="5" spans="1:16" ht="25.5" x14ac:dyDescent="0.25">
      <c r="A5" s="93"/>
      <c r="B5" s="85"/>
      <c r="C5" s="93"/>
      <c r="D5" s="24" t="s">
        <v>0</v>
      </c>
      <c r="E5" s="24" t="s">
        <v>0</v>
      </c>
      <c r="F5" s="24" t="s">
        <v>0</v>
      </c>
      <c r="G5" s="24" t="s">
        <v>0</v>
      </c>
      <c r="H5" s="24" t="s">
        <v>0</v>
      </c>
      <c r="I5" s="93"/>
      <c r="J5" s="85"/>
      <c r="K5" s="83"/>
      <c r="L5" s="83"/>
      <c r="M5" s="85"/>
      <c r="N5" s="85"/>
      <c r="O5" s="85"/>
      <c r="P5" s="85"/>
    </row>
    <row r="6" spans="1:16" x14ac:dyDescent="0.25">
      <c r="A6" s="23">
        <v>1</v>
      </c>
      <c r="B6" s="24" t="s">
        <v>11</v>
      </c>
      <c r="C6" s="27">
        <v>1</v>
      </c>
      <c r="D6" s="22">
        <v>105000</v>
      </c>
      <c r="E6" s="22">
        <v>66041</v>
      </c>
      <c r="F6" s="22">
        <v>188876.38</v>
      </c>
      <c r="G6" s="22">
        <v>103979</v>
      </c>
      <c r="H6" s="43">
        <f>AVERAGE(D6,E6,F6,G6)</f>
        <v>115974.095</v>
      </c>
      <c r="I6" s="39">
        <v>4.5</v>
      </c>
      <c r="J6" s="53">
        <v>26</v>
      </c>
      <c r="K6" s="57">
        <f>H6*I6*J6</f>
        <v>13568969.115</v>
      </c>
      <c r="L6" s="57">
        <f>ROUND(K6,0)</f>
        <v>13568969</v>
      </c>
      <c r="M6" s="44">
        <f>K6*80%</f>
        <v>10855175.292000001</v>
      </c>
      <c r="N6" s="44">
        <f>ROUND(M6,0)</f>
        <v>10855175</v>
      </c>
      <c r="O6" s="44">
        <f>K6*20%</f>
        <v>2713793.8230000003</v>
      </c>
      <c r="P6" s="44">
        <f>ROUND(O6,0)</f>
        <v>2713794</v>
      </c>
    </row>
    <row r="7" spans="1:16" ht="25.5" x14ac:dyDescent="0.25">
      <c r="A7" s="25">
        <v>2</v>
      </c>
      <c r="B7" s="24" t="s">
        <v>12</v>
      </c>
      <c r="C7" s="27">
        <v>1</v>
      </c>
      <c r="D7" s="22">
        <v>1660000</v>
      </c>
      <c r="E7" s="22">
        <v>2179342</v>
      </c>
      <c r="F7" s="22">
        <v>2179342.79</v>
      </c>
      <c r="G7" s="22">
        <v>1615332</v>
      </c>
      <c r="H7" s="43">
        <f t="shared" ref="H7:H12" si="0">AVERAGE(D7,E7,F7,G7)</f>
        <v>1908504.1975</v>
      </c>
      <c r="I7" s="39">
        <v>4.5</v>
      </c>
      <c r="J7" s="53">
        <v>26</v>
      </c>
      <c r="K7" s="57">
        <f t="shared" ref="K7:K12" si="1">H7*I7*J7</f>
        <v>223294991.10749999</v>
      </c>
      <c r="L7" s="57">
        <f t="shared" ref="L7:L12" si="2">ROUND(K7,0)</f>
        <v>223294991</v>
      </c>
      <c r="M7" s="44">
        <f t="shared" ref="M7:M12" si="3">K7*80%</f>
        <v>178635992.88600001</v>
      </c>
      <c r="N7" s="44">
        <f t="shared" ref="N7:N12" si="4">ROUND(M7,0)</f>
        <v>178635993</v>
      </c>
      <c r="O7" s="44">
        <f t="shared" ref="O7:O12" si="5">K7*20%</f>
        <v>44658998.221500002</v>
      </c>
      <c r="P7" s="44">
        <f t="shared" ref="P7:P12" si="6">ROUND(O7,0)</f>
        <v>44658998</v>
      </c>
    </row>
    <row r="8" spans="1:16" ht="38.25" x14ac:dyDescent="0.25">
      <c r="A8" s="25">
        <v>3</v>
      </c>
      <c r="B8" s="24" t="s">
        <v>13</v>
      </c>
      <c r="C8" s="27">
        <v>1</v>
      </c>
      <c r="D8" s="22">
        <v>55000</v>
      </c>
      <c r="E8" s="22">
        <v>66041</v>
      </c>
      <c r="F8" s="22">
        <v>25095.46</v>
      </c>
      <c r="G8" s="22">
        <v>53057</v>
      </c>
      <c r="H8" s="43">
        <f t="shared" si="0"/>
        <v>49798.364999999998</v>
      </c>
      <c r="I8" s="39">
        <v>4.5</v>
      </c>
      <c r="J8" s="53">
        <v>26</v>
      </c>
      <c r="K8" s="57">
        <f t="shared" si="1"/>
        <v>5826408.7050000001</v>
      </c>
      <c r="L8" s="57">
        <f t="shared" si="2"/>
        <v>5826409</v>
      </c>
      <c r="M8" s="44">
        <f t="shared" si="3"/>
        <v>4661126.9640000006</v>
      </c>
      <c r="N8" s="44">
        <f t="shared" si="4"/>
        <v>4661127</v>
      </c>
      <c r="O8" s="44">
        <f t="shared" si="5"/>
        <v>1165281.7410000002</v>
      </c>
      <c r="P8" s="44">
        <f t="shared" si="6"/>
        <v>1165282</v>
      </c>
    </row>
    <row r="9" spans="1:16" x14ac:dyDescent="0.25">
      <c r="A9" s="25">
        <v>4</v>
      </c>
      <c r="B9" s="24" t="s">
        <v>14</v>
      </c>
      <c r="C9" s="27">
        <v>1</v>
      </c>
      <c r="D9" s="22">
        <v>600000</v>
      </c>
      <c r="E9" s="22">
        <v>660407</v>
      </c>
      <c r="F9" s="22">
        <v>429264.49</v>
      </c>
      <c r="G9" s="22">
        <v>570413</v>
      </c>
      <c r="H9" s="43">
        <f t="shared" si="0"/>
        <v>565021.12250000006</v>
      </c>
      <c r="I9" s="39">
        <v>4.5</v>
      </c>
      <c r="J9" s="53">
        <v>26</v>
      </c>
      <c r="K9" s="57">
        <f t="shared" si="1"/>
        <v>66107471.332500011</v>
      </c>
      <c r="L9" s="57">
        <f t="shared" si="2"/>
        <v>66107471</v>
      </c>
      <c r="M9" s="44">
        <f t="shared" si="3"/>
        <v>52885977.066000015</v>
      </c>
      <c r="N9" s="44">
        <f t="shared" si="4"/>
        <v>52885977</v>
      </c>
      <c r="O9" s="44">
        <f t="shared" si="5"/>
        <v>13221494.266500004</v>
      </c>
      <c r="P9" s="44">
        <f t="shared" si="6"/>
        <v>13221494</v>
      </c>
    </row>
    <row r="10" spans="1:16" ht="25.5" x14ac:dyDescent="0.25">
      <c r="A10" s="25">
        <v>5</v>
      </c>
      <c r="B10" s="24" t="s">
        <v>15</v>
      </c>
      <c r="C10" s="27">
        <v>1</v>
      </c>
      <c r="D10" s="22">
        <v>40000</v>
      </c>
      <c r="E10" s="22">
        <v>39624</v>
      </c>
      <c r="F10" s="22">
        <v>35001.57</v>
      </c>
      <c r="G10" s="22">
        <v>38469</v>
      </c>
      <c r="H10" s="43">
        <f t="shared" si="0"/>
        <v>38273.642500000002</v>
      </c>
      <c r="I10" s="39">
        <v>4.5</v>
      </c>
      <c r="J10" s="53">
        <v>26</v>
      </c>
      <c r="K10" s="57">
        <f t="shared" si="1"/>
        <v>4478016.1725000003</v>
      </c>
      <c r="L10" s="57">
        <f t="shared" si="2"/>
        <v>4478016</v>
      </c>
      <c r="M10" s="44">
        <f t="shared" si="3"/>
        <v>3582412.9380000005</v>
      </c>
      <c r="N10" s="44">
        <f t="shared" si="4"/>
        <v>3582413</v>
      </c>
      <c r="O10" s="44">
        <f t="shared" si="5"/>
        <v>895603.23450000014</v>
      </c>
      <c r="P10" s="44">
        <f t="shared" si="6"/>
        <v>895603</v>
      </c>
    </row>
    <row r="11" spans="1:16" ht="38.25" x14ac:dyDescent="0.25">
      <c r="A11" s="25">
        <v>6</v>
      </c>
      <c r="B11" s="26" t="s">
        <v>17</v>
      </c>
      <c r="C11" s="27">
        <v>1</v>
      </c>
      <c r="D11" s="22">
        <v>70000</v>
      </c>
      <c r="E11" s="22">
        <v>59437</v>
      </c>
      <c r="F11" s="22">
        <v>15189.36</v>
      </c>
      <c r="G11" s="22">
        <v>60451</v>
      </c>
      <c r="H11" s="43">
        <f t="shared" si="0"/>
        <v>51269.34</v>
      </c>
      <c r="I11" s="39">
        <v>4.5</v>
      </c>
      <c r="J11" s="53">
        <v>26</v>
      </c>
      <c r="K11" s="57">
        <f t="shared" si="1"/>
        <v>5998512.7799999993</v>
      </c>
      <c r="L11" s="57">
        <f t="shared" si="2"/>
        <v>5998513</v>
      </c>
      <c r="M11" s="44">
        <f t="shared" si="3"/>
        <v>4798810.2239999995</v>
      </c>
      <c r="N11" s="44">
        <f t="shared" si="4"/>
        <v>4798810</v>
      </c>
      <c r="O11" s="44">
        <f t="shared" si="5"/>
        <v>1199702.5559999999</v>
      </c>
      <c r="P11" s="44">
        <f>ROUND(O11,0)</f>
        <v>1199703</v>
      </c>
    </row>
    <row r="12" spans="1:16" ht="38.25" x14ac:dyDescent="0.25">
      <c r="A12" s="25">
        <v>7</v>
      </c>
      <c r="B12" s="26" t="s">
        <v>16</v>
      </c>
      <c r="C12" s="27">
        <v>1</v>
      </c>
      <c r="D12" s="22">
        <v>900000</v>
      </c>
      <c r="E12" s="22">
        <v>231142</v>
      </c>
      <c r="F12" s="22">
        <v>429264.49</v>
      </c>
      <c r="G12" s="22">
        <v>855637</v>
      </c>
      <c r="H12" s="43">
        <f t="shared" si="0"/>
        <v>604010.87250000006</v>
      </c>
      <c r="I12" s="39">
        <v>4.5</v>
      </c>
      <c r="J12" s="53">
        <v>26</v>
      </c>
      <c r="K12" s="57">
        <f t="shared" si="1"/>
        <v>70669272.082500011</v>
      </c>
      <c r="L12" s="57">
        <f t="shared" si="2"/>
        <v>70669272</v>
      </c>
      <c r="M12" s="44">
        <f t="shared" si="3"/>
        <v>56535417.666000009</v>
      </c>
      <c r="N12" s="44">
        <f t="shared" si="4"/>
        <v>56535418</v>
      </c>
      <c r="O12" s="44">
        <f t="shared" si="5"/>
        <v>14133854.416500002</v>
      </c>
      <c r="P12" s="44">
        <f t="shared" si="6"/>
        <v>14133854</v>
      </c>
    </row>
    <row r="13" spans="1:16" x14ac:dyDescent="0.25">
      <c r="A13" s="96" t="s">
        <v>29</v>
      </c>
      <c r="B13" s="97"/>
      <c r="C13" s="97"/>
      <c r="D13" s="28">
        <f>SUM(D6:D12)</f>
        <v>3430000</v>
      </c>
      <c r="E13" s="28">
        <f>SUM(E6:E12)</f>
        <v>3302034</v>
      </c>
      <c r="F13" s="42">
        <f t="shared" ref="F13:H13" si="7">SUM(F6:F12)</f>
        <v>3302034.54</v>
      </c>
      <c r="G13" s="28">
        <f t="shared" si="7"/>
        <v>3297338</v>
      </c>
      <c r="H13" s="42">
        <f t="shared" si="7"/>
        <v>3332851.6350000002</v>
      </c>
      <c r="I13" s="30"/>
      <c r="J13" s="30"/>
      <c r="K13" s="69">
        <f t="shared" ref="K13:O13" si="8">SUM(K6:K12)</f>
        <v>389943641.29499996</v>
      </c>
      <c r="L13" s="56">
        <f>SUM(L6:L12)</f>
        <v>389943641</v>
      </c>
      <c r="M13" s="42">
        <f t="shared" si="8"/>
        <v>311954913.03600001</v>
      </c>
      <c r="N13" s="42">
        <f>SUM(N6:N12)</f>
        <v>311954913</v>
      </c>
      <c r="O13" s="42">
        <f t="shared" si="8"/>
        <v>77988728.259000003</v>
      </c>
      <c r="P13" s="42">
        <f>SUM(P6:P12)</f>
        <v>77988728</v>
      </c>
    </row>
    <row r="14" spans="1:16" ht="15.75" x14ac:dyDescent="0.25">
      <c r="A14" s="37" t="s">
        <v>30</v>
      </c>
      <c r="B14" s="38" t="s">
        <v>63</v>
      </c>
      <c r="C14" s="17"/>
      <c r="D14" s="18"/>
      <c r="E14" s="19"/>
      <c r="F14" s="20"/>
      <c r="G14" s="19"/>
      <c r="H14" s="21"/>
      <c r="I14" s="21"/>
      <c r="J14" s="21"/>
      <c r="K14" s="21"/>
      <c r="L14" s="21"/>
      <c r="M14" s="18"/>
      <c r="N14" s="18"/>
      <c r="O14" s="18"/>
      <c r="P14" s="18"/>
    </row>
    <row r="16" spans="1:16" ht="15.75" x14ac:dyDescent="0.25">
      <c r="A16" s="37" t="s">
        <v>30</v>
      </c>
      <c r="B16" s="3" t="s">
        <v>50</v>
      </c>
      <c r="C16" s="9"/>
      <c r="D16" s="10"/>
      <c r="G16" s="98">
        <f>N13</f>
        <v>311954913</v>
      </c>
      <c r="H16" s="98"/>
    </row>
    <row r="17" spans="1:8" ht="15.75" x14ac:dyDescent="0.25">
      <c r="A17" s="37" t="s">
        <v>30</v>
      </c>
      <c r="B17" s="3" t="s">
        <v>51</v>
      </c>
      <c r="C17" s="9"/>
      <c r="D17" s="10"/>
      <c r="G17" s="98">
        <f>P13</f>
        <v>77988728</v>
      </c>
      <c r="H17" s="98"/>
    </row>
    <row r="18" spans="1:8" ht="15.75" x14ac:dyDescent="0.25">
      <c r="A18" s="37" t="s">
        <v>30</v>
      </c>
      <c r="B18" s="3" t="s">
        <v>58</v>
      </c>
      <c r="C18" s="9"/>
      <c r="D18" s="10"/>
      <c r="G18" s="98">
        <f>G16+G17</f>
        <v>389943641</v>
      </c>
      <c r="H18" s="98"/>
    </row>
  </sheetData>
  <mergeCells count="18">
    <mergeCell ref="P4:P5"/>
    <mergeCell ref="N4:N5"/>
    <mergeCell ref="A1:J2"/>
    <mergeCell ref="K1:O2"/>
    <mergeCell ref="A3:O3"/>
    <mergeCell ref="A4:A5"/>
    <mergeCell ref="B4:B5"/>
    <mergeCell ref="C4:C5"/>
    <mergeCell ref="I4:I5"/>
    <mergeCell ref="J4:J5"/>
    <mergeCell ref="K4:K5"/>
    <mergeCell ref="M4:M5"/>
    <mergeCell ref="L4:L5"/>
    <mergeCell ref="G16:H16"/>
    <mergeCell ref="G17:H17"/>
    <mergeCell ref="G18:H18"/>
    <mergeCell ref="O4:O5"/>
    <mergeCell ref="A13:C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H23"/>
  <sheetViews>
    <sheetView showWhiteSpace="0" zoomScaleNormal="100" workbookViewId="0">
      <selection activeCell="G9" sqref="G9"/>
    </sheetView>
  </sheetViews>
  <sheetFormatPr baseColWidth="10" defaultColWidth="11.42578125" defaultRowHeight="14.25" x14ac:dyDescent="0.2"/>
  <cols>
    <col min="1" max="1" width="1.85546875" style="1" customWidth="1"/>
    <col min="2" max="2" width="8.5703125" style="1" customWidth="1"/>
    <col min="3" max="3" width="16" style="1" customWidth="1"/>
    <col min="4" max="4" width="11.28515625" style="1" customWidth="1"/>
    <col min="5" max="6" width="12.140625" style="1" customWidth="1"/>
    <col min="7" max="7" width="13.28515625" style="1" bestFit="1" customWidth="1"/>
    <col min="8" max="8" width="11.85546875" style="1" bestFit="1" customWidth="1"/>
    <col min="9" max="16384" width="11.42578125" style="1"/>
  </cols>
  <sheetData>
    <row r="1" spans="2:8" ht="36" customHeight="1" x14ac:dyDescent="0.2">
      <c r="B1" s="103" t="s">
        <v>5</v>
      </c>
      <c r="C1" s="104"/>
      <c r="D1" s="104"/>
      <c r="E1" s="104"/>
      <c r="F1" s="107"/>
      <c r="G1" s="107"/>
      <c r="H1" s="107"/>
    </row>
    <row r="2" spans="2:8" ht="35.450000000000003" customHeight="1" x14ac:dyDescent="0.2">
      <c r="B2" s="105"/>
      <c r="C2" s="106"/>
      <c r="D2" s="106"/>
      <c r="E2" s="106"/>
      <c r="F2" s="106"/>
      <c r="G2" s="106"/>
      <c r="H2" s="106"/>
    </row>
    <row r="3" spans="2:8" s="14" customFormat="1" ht="55.15" customHeight="1" x14ac:dyDescent="0.25">
      <c r="B3" s="111" t="s">
        <v>6</v>
      </c>
      <c r="C3" s="111"/>
      <c r="D3" s="111"/>
      <c r="E3" s="111"/>
      <c r="F3" s="111"/>
      <c r="G3" s="111"/>
      <c r="H3" s="111"/>
    </row>
    <row r="4" spans="2:8" ht="27.75" customHeight="1" x14ac:dyDescent="0.2">
      <c r="B4" s="32" t="s">
        <v>7</v>
      </c>
      <c r="C4" s="32" t="s">
        <v>8</v>
      </c>
      <c r="D4" s="32" t="s">
        <v>10</v>
      </c>
      <c r="E4" s="32" t="s">
        <v>0</v>
      </c>
      <c r="F4" s="32" t="s">
        <v>38</v>
      </c>
      <c r="G4" s="51" t="s">
        <v>35</v>
      </c>
      <c r="H4" s="51" t="s">
        <v>36</v>
      </c>
    </row>
    <row r="5" spans="2:8" x14ac:dyDescent="0.2">
      <c r="B5" s="33">
        <v>1</v>
      </c>
      <c r="C5" s="34">
        <v>40</v>
      </c>
      <c r="D5" s="34">
        <v>4.5</v>
      </c>
      <c r="E5" s="46">
        <f>'ESTUDIO DE MERCADO'!I13</f>
        <v>3332851.6350000002</v>
      </c>
      <c r="F5" s="64">
        <f>'GRUPO 1'!M13</f>
        <v>599913295</v>
      </c>
      <c r="G5" s="77">
        <f>F5*80%</f>
        <v>479930636</v>
      </c>
      <c r="H5" s="77">
        <f>F5*20%</f>
        <v>119982659</v>
      </c>
    </row>
    <row r="6" spans="2:8" x14ac:dyDescent="0.2">
      <c r="B6" s="35">
        <v>2</v>
      </c>
      <c r="C6" s="36">
        <v>34</v>
      </c>
      <c r="D6" s="34">
        <v>4.5</v>
      </c>
      <c r="E6" s="46">
        <f>'ESTUDIO DE MERCADO'!I13</f>
        <v>3332851.6350000002</v>
      </c>
      <c r="F6" s="64">
        <f>'GRUPO 2'!M13</f>
        <v>509926300</v>
      </c>
      <c r="G6" s="77">
        <f t="shared" ref="G6:G7" si="0">F6*80%</f>
        <v>407941040</v>
      </c>
      <c r="H6" s="77">
        <f t="shared" ref="H6:H8" si="1">F6*20%</f>
        <v>101985260</v>
      </c>
    </row>
    <row r="7" spans="2:8" ht="31.7" customHeight="1" x14ac:dyDescent="0.2">
      <c r="B7" s="35">
        <v>3</v>
      </c>
      <c r="C7" s="36">
        <v>20</v>
      </c>
      <c r="D7" s="34">
        <v>4.5</v>
      </c>
      <c r="E7" s="46">
        <f>'ESTUDIO DE MERCADO'!I13</f>
        <v>3332851.6350000002</v>
      </c>
      <c r="F7" s="64">
        <f>'GRUPO 3'!L13</f>
        <v>299956649</v>
      </c>
      <c r="G7" s="77">
        <f t="shared" si="0"/>
        <v>239965319.20000002</v>
      </c>
      <c r="H7" s="77">
        <f t="shared" si="1"/>
        <v>59991329.800000004</v>
      </c>
    </row>
    <row r="8" spans="2:8" x14ac:dyDescent="0.2">
      <c r="B8" s="33">
        <v>4</v>
      </c>
      <c r="C8" s="36">
        <v>26</v>
      </c>
      <c r="D8" s="34">
        <v>4.5</v>
      </c>
      <c r="E8" s="46">
        <f>'ESTUDIO DE MERCADO'!I13</f>
        <v>3332851.6350000002</v>
      </c>
      <c r="F8" s="64">
        <f>'GRUPO 4'!L13</f>
        <v>389943641</v>
      </c>
      <c r="G8" s="77">
        <f>F8*80%</f>
        <v>311954912.80000001</v>
      </c>
      <c r="H8" s="77">
        <f t="shared" si="1"/>
        <v>77988728.200000003</v>
      </c>
    </row>
    <row r="9" spans="2:8" ht="24" customHeight="1" x14ac:dyDescent="0.2">
      <c r="B9" s="108" t="s">
        <v>3</v>
      </c>
      <c r="C9" s="109"/>
      <c r="D9" s="109"/>
      <c r="E9" s="110"/>
      <c r="F9" s="45">
        <f>SUM(F5:F8)</f>
        <v>1799739885</v>
      </c>
      <c r="G9" s="78">
        <f>F9*80%</f>
        <v>1439791908</v>
      </c>
      <c r="H9" s="78">
        <f>F9*20%</f>
        <v>359947977</v>
      </c>
    </row>
    <row r="10" spans="2:8" ht="15" x14ac:dyDescent="0.25">
      <c r="B10" s="15"/>
      <c r="C10" s="16"/>
      <c r="D10" s="17"/>
      <c r="E10" s="41"/>
      <c r="F10" s="48"/>
      <c r="G10" s="50"/>
      <c r="H10" s="49"/>
    </row>
    <row r="11" spans="2:8" ht="15" x14ac:dyDescent="0.25">
      <c r="B11" s="15"/>
      <c r="C11" s="16"/>
      <c r="D11" s="17"/>
      <c r="E11" s="41"/>
      <c r="F11" s="48"/>
      <c r="G11" s="49"/>
      <c r="H11" s="49"/>
    </row>
    <row r="12" spans="2:8" ht="12.75" customHeight="1" x14ac:dyDescent="0.2">
      <c r="B12" s="13"/>
      <c r="C12" s="3"/>
      <c r="D12" s="9"/>
      <c r="E12" s="11"/>
      <c r="F12" s="40"/>
    </row>
    <row r="13" spans="2:8" x14ac:dyDescent="0.2">
      <c r="B13" s="8"/>
      <c r="C13" s="3"/>
      <c r="D13" s="9"/>
      <c r="E13" s="11"/>
      <c r="F13" s="5"/>
    </row>
    <row r="14" spans="2:8" ht="12.75" customHeight="1" x14ac:dyDescent="0.2">
      <c r="B14" s="80" t="s">
        <v>1</v>
      </c>
      <c r="C14" s="80"/>
      <c r="D14" s="80"/>
      <c r="E14" s="4"/>
      <c r="F14" s="4"/>
    </row>
    <row r="15" spans="2:8" ht="12.75" customHeight="1" x14ac:dyDescent="0.2">
      <c r="B15" s="81" t="s">
        <v>2</v>
      </c>
      <c r="C15" s="81"/>
      <c r="D15" s="81"/>
      <c r="E15" s="2"/>
      <c r="F15" s="2"/>
    </row>
    <row r="16" spans="2:8" x14ac:dyDescent="0.2">
      <c r="B16" s="95" t="s">
        <v>40</v>
      </c>
      <c r="C16" s="95"/>
      <c r="D16" s="12"/>
      <c r="E16" s="2"/>
      <c r="F16" s="2"/>
    </row>
    <row r="17" spans="2:6" x14ac:dyDescent="0.2">
      <c r="B17" s="7"/>
      <c r="C17" s="7"/>
      <c r="D17" s="7"/>
      <c r="E17" s="7"/>
      <c r="F17" s="7"/>
    </row>
    <row r="18" spans="2:6" x14ac:dyDescent="0.2">
      <c r="B18" s="7"/>
      <c r="C18" s="7"/>
      <c r="D18" s="7"/>
      <c r="E18" s="7"/>
      <c r="F18" s="7"/>
    </row>
    <row r="19" spans="2:6" x14ac:dyDescent="0.2">
      <c r="B19" s="7"/>
      <c r="C19" s="7"/>
      <c r="D19" s="7"/>
      <c r="E19" s="7"/>
      <c r="F19" s="7"/>
    </row>
    <row r="20" spans="2:6" x14ac:dyDescent="0.2">
      <c r="B20" s="7"/>
      <c r="C20" s="7"/>
      <c r="D20" s="7"/>
      <c r="E20" s="7"/>
      <c r="F20" s="7"/>
    </row>
    <row r="21" spans="2:6" x14ac:dyDescent="0.2">
      <c r="B21" s="7"/>
      <c r="C21" s="7"/>
      <c r="D21" s="7"/>
      <c r="E21" s="7"/>
      <c r="F21" s="7"/>
    </row>
    <row r="22" spans="2:6" x14ac:dyDescent="0.2">
      <c r="B22" s="7"/>
      <c r="C22" s="7"/>
      <c r="D22" s="7"/>
      <c r="E22" s="7"/>
      <c r="F22" s="7"/>
    </row>
    <row r="23" spans="2:6" x14ac:dyDescent="0.2">
      <c r="B23" s="7"/>
      <c r="C23" s="7"/>
      <c r="D23" s="7"/>
      <c r="E23" s="7"/>
      <c r="F23" s="7"/>
    </row>
  </sheetData>
  <mergeCells count="7">
    <mergeCell ref="B1:E2"/>
    <mergeCell ref="F1:H2"/>
    <mergeCell ref="B16:C16"/>
    <mergeCell ref="B14:D14"/>
    <mergeCell ref="B15:D15"/>
    <mergeCell ref="B9:E9"/>
    <mergeCell ref="B3:H3"/>
  </mergeCells>
  <printOptions horizontalCentered="1"/>
  <pageMargins left="0.31496062992125984" right="0.31496062992125984" top="0.62992125984251968" bottom="0.35433070866141736" header="0.31496062992125984" footer="0.31496062992125984"/>
  <pageSetup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2"/>
  <sheetViews>
    <sheetView tabSelected="1" topLeftCell="B1" zoomScale="115" workbookViewId="0">
      <selection activeCell="B1" sqref="B1:K2"/>
    </sheetView>
  </sheetViews>
  <sheetFormatPr baseColWidth="10" defaultRowHeight="15" x14ac:dyDescent="0.25"/>
  <cols>
    <col min="1" max="1" width="0.7109375" customWidth="1"/>
    <col min="2" max="2" width="6.42578125" customWidth="1"/>
    <col min="4" max="4" width="5.85546875" customWidth="1"/>
    <col min="5" max="5" width="10.7109375" customWidth="1"/>
    <col min="6" max="6" width="10.5703125" customWidth="1"/>
    <col min="7" max="7" width="11.28515625" customWidth="1"/>
    <col min="8" max="8" width="12" customWidth="1"/>
    <col min="9" max="9" width="11.7109375" customWidth="1"/>
    <col min="10" max="10" width="6" customWidth="1"/>
    <col min="11" max="11" width="9.85546875" hidden="1" customWidth="1"/>
    <col min="12" max="12" width="9.85546875" customWidth="1"/>
    <col min="13" max="13" width="9.85546875" hidden="1" customWidth="1"/>
    <col min="14" max="14" width="9.85546875" customWidth="1"/>
    <col min="15" max="15" width="9.140625" hidden="1" customWidth="1"/>
    <col min="16" max="16" width="9.140625" customWidth="1"/>
    <col min="17" max="17" width="9.140625" hidden="1" customWidth="1"/>
    <col min="18" max="18" width="9.140625" customWidth="1"/>
    <col min="19" max="19" width="9.85546875" customWidth="1"/>
    <col min="20" max="20" width="13" bestFit="1" customWidth="1"/>
  </cols>
  <sheetData>
    <row r="1" spans="1:20" ht="36.6" customHeight="1" x14ac:dyDescent="0.25">
      <c r="A1" s="1"/>
      <c r="B1" s="91" t="s">
        <v>5</v>
      </c>
      <c r="C1" s="92"/>
      <c r="D1" s="92"/>
      <c r="E1" s="92"/>
      <c r="F1" s="92"/>
      <c r="G1" s="92"/>
      <c r="H1" s="92"/>
      <c r="I1" s="92"/>
      <c r="J1" s="92"/>
      <c r="K1" s="92"/>
      <c r="L1" s="63"/>
      <c r="M1" s="113"/>
      <c r="N1" s="113"/>
      <c r="O1" s="113"/>
      <c r="P1" s="113"/>
      <c r="Q1" s="113"/>
      <c r="R1" s="113"/>
      <c r="S1" s="113"/>
    </row>
    <row r="2" spans="1:20" ht="37.700000000000003" customHeight="1" x14ac:dyDescent="0.25">
      <c r="A2" s="1"/>
      <c r="B2" s="89"/>
      <c r="C2" s="90"/>
      <c r="D2" s="90"/>
      <c r="E2" s="90"/>
      <c r="F2" s="90"/>
      <c r="G2" s="90"/>
      <c r="H2" s="90"/>
      <c r="I2" s="90"/>
      <c r="J2" s="90"/>
      <c r="K2" s="90"/>
      <c r="L2" s="62"/>
      <c r="M2" s="114"/>
      <c r="N2" s="114"/>
      <c r="O2" s="114"/>
      <c r="P2" s="114"/>
      <c r="Q2" s="114"/>
      <c r="R2" s="114"/>
      <c r="S2" s="114"/>
    </row>
    <row r="3" spans="1:20" ht="46.9" customHeight="1" x14ac:dyDescent="0.25">
      <c r="A3" s="14"/>
      <c r="B3" s="112" t="s">
        <v>6</v>
      </c>
      <c r="C3" s="112"/>
      <c r="D3" s="112"/>
      <c r="E3" s="112"/>
      <c r="F3" s="112"/>
      <c r="G3" s="112"/>
      <c r="H3" s="112"/>
      <c r="I3" s="112"/>
      <c r="J3" s="112"/>
      <c r="K3" s="112"/>
      <c r="L3" s="112"/>
      <c r="M3" s="112"/>
      <c r="N3" s="112"/>
      <c r="O3" s="112"/>
      <c r="P3" s="112"/>
      <c r="Q3" s="112"/>
      <c r="R3" s="112"/>
      <c r="S3" s="112"/>
    </row>
    <row r="4" spans="1:20" ht="38.450000000000003" customHeight="1" x14ac:dyDescent="0.25">
      <c r="A4" s="1"/>
      <c r="B4" s="85" t="s">
        <v>18</v>
      </c>
      <c r="C4" s="94" t="s">
        <v>4</v>
      </c>
      <c r="D4" s="85" t="s">
        <v>27</v>
      </c>
      <c r="E4" s="29" t="s">
        <v>22</v>
      </c>
      <c r="F4" s="29" t="s">
        <v>19</v>
      </c>
      <c r="G4" s="29" t="s">
        <v>21</v>
      </c>
      <c r="H4" s="29" t="s">
        <v>20</v>
      </c>
      <c r="I4" s="31" t="s">
        <v>9</v>
      </c>
      <c r="J4" s="85" t="s">
        <v>27</v>
      </c>
      <c r="K4" s="29" t="s">
        <v>23</v>
      </c>
      <c r="L4" s="29" t="s">
        <v>23</v>
      </c>
      <c r="M4" s="29" t="s">
        <v>19</v>
      </c>
      <c r="N4" s="29" t="s">
        <v>19</v>
      </c>
      <c r="O4" s="29" t="s">
        <v>25</v>
      </c>
      <c r="P4" s="29" t="s">
        <v>25</v>
      </c>
      <c r="Q4" s="29" t="s">
        <v>59</v>
      </c>
      <c r="R4" s="29" t="s">
        <v>59</v>
      </c>
      <c r="S4" s="84" t="s">
        <v>28</v>
      </c>
    </row>
    <row r="5" spans="1:20" ht="27.75" customHeight="1" x14ac:dyDescent="0.25">
      <c r="A5" s="1"/>
      <c r="B5" s="93"/>
      <c r="C5" s="85"/>
      <c r="D5" s="93"/>
      <c r="E5" s="24" t="s">
        <v>0</v>
      </c>
      <c r="F5" s="24" t="s">
        <v>0</v>
      </c>
      <c r="G5" s="24" t="s">
        <v>0</v>
      </c>
      <c r="H5" s="24" t="s">
        <v>0</v>
      </c>
      <c r="I5" s="24" t="s">
        <v>0</v>
      </c>
      <c r="J5" s="93"/>
      <c r="K5" s="24" t="s">
        <v>26</v>
      </c>
      <c r="L5" s="24" t="s">
        <v>26</v>
      </c>
      <c r="M5" s="24" t="s">
        <v>32</v>
      </c>
      <c r="N5" s="24" t="s">
        <v>32</v>
      </c>
      <c r="O5" s="24" t="s">
        <v>24</v>
      </c>
      <c r="P5" s="24" t="s">
        <v>24</v>
      </c>
      <c r="Q5" s="24" t="s">
        <v>33</v>
      </c>
      <c r="R5" s="24" t="s">
        <v>33</v>
      </c>
      <c r="S5" s="85"/>
    </row>
    <row r="6" spans="1:20" x14ac:dyDescent="0.25">
      <c r="A6" s="1"/>
      <c r="B6" s="23">
        <v>1</v>
      </c>
      <c r="C6" s="24" t="s">
        <v>11</v>
      </c>
      <c r="D6" s="27">
        <v>1</v>
      </c>
      <c r="E6" s="22">
        <v>105000</v>
      </c>
      <c r="F6" s="22">
        <v>66041</v>
      </c>
      <c r="G6" s="22">
        <v>188876.38</v>
      </c>
      <c r="H6" s="22">
        <v>103979</v>
      </c>
      <c r="I6" s="43">
        <f>AVERAGE(E6,F6,G6,H6)</f>
        <v>115974.095</v>
      </c>
      <c r="J6" s="39">
        <v>4.5</v>
      </c>
      <c r="K6" s="47">
        <f>I6*40*J6</f>
        <v>20875337.099999998</v>
      </c>
      <c r="L6" s="47">
        <f>ROUND(K6,0)</f>
        <v>20875337</v>
      </c>
      <c r="M6" s="44">
        <f>I6*34*J6</f>
        <v>17744036.535</v>
      </c>
      <c r="N6" s="47">
        <f>ROUND(M6,0)</f>
        <v>17744037</v>
      </c>
      <c r="O6" s="44">
        <f>I6*20*J6</f>
        <v>10437668.549999999</v>
      </c>
      <c r="P6" s="47">
        <f>ROUND(O6,0)</f>
        <v>10437669</v>
      </c>
      <c r="Q6" s="44">
        <f>I6*26*J6</f>
        <v>13568969.115</v>
      </c>
      <c r="R6" s="47">
        <f>ROUND(Q6,0)</f>
        <v>13568969</v>
      </c>
      <c r="S6" s="44">
        <f>L6+N6+P6+R6</f>
        <v>62626012</v>
      </c>
      <c r="T6" s="54"/>
    </row>
    <row r="7" spans="1:20" ht="25.5" x14ac:dyDescent="0.25">
      <c r="A7" s="1"/>
      <c r="B7" s="25">
        <v>2</v>
      </c>
      <c r="C7" s="24" t="s">
        <v>12</v>
      </c>
      <c r="D7" s="27">
        <v>1</v>
      </c>
      <c r="E7" s="22">
        <v>1660000</v>
      </c>
      <c r="F7" s="22">
        <v>2179342</v>
      </c>
      <c r="G7" s="22">
        <v>2179342.79</v>
      </c>
      <c r="H7" s="22">
        <v>1615332</v>
      </c>
      <c r="I7" s="43">
        <f t="shared" ref="I7:I12" si="0">AVERAGE(E7,F7,G7,H7)</f>
        <v>1908504.1975</v>
      </c>
      <c r="J7" s="39">
        <v>4.5</v>
      </c>
      <c r="K7" s="47">
        <f t="shared" ref="K7:K11" si="1">I7*40*J7</f>
        <v>343530755.55000001</v>
      </c>
      <c r="L7" s="47">
        <f t="shared" ref="L7:L12" si="2">ROUND(K7,0)</f>
        <v>343530756</v>
      </c>
      <c r="M7" s="44">
        <f t="shared" ref="M7:M12" si="3">I7*34*J7</f>
        <v>292001142.21750003</v>
      </c>
      <c r="N7" s="47">
        <f t="shared" ref="N7:N12" si="4">ROUND(M7,0)</f>
        <v>292001142</v>
      </c>
      <c r="O7" s="44">
        <f t="shared" ref="O7:O12" si="5">I7*20*J7</f>
        <v>171765377.77500001</v>
      </c>
      <c r="P7" s="47">
        <f t="shared" ref="P7:P12" si="6">ROUND(O7,0)</f>
        <v>171765378</v>
      </c>
      <c r="Q7" s="44">
        <f t="shared" ref="Q7:Q12" si="7">I7*26*J7</f>
        <v>223294991.10749999</v>
      </c>
      <c r="R7" s="47">
        <f t="shared" ref="R7:R12" si="8">ROUND(Q7,0)</f>
        <v>223294991</v>
      </c>
      <c r="S7" s="44">
        <f t="shared" ref="S7:S12" si="9">L7+N7+P7+R7</f>
        <v>1030592267</v>
      </c>
      <c r="T7" s="54"/>
    </row>
    <row r="8" spans="1:20" ht="38.25" x14ac:dyDescent="0.25">
      <c r="A8" s="1"/>
      <c r="B8" s="25">
        <v>3</v>
      </c>
      <c r="C8" s="24" t="s">
        <v>13</v>
      </c>
      <c r="D8" s="27">
        <v>1</v>
      </c>
      <c r="E8" s="22">
        <v>55000</v>
      </c>
      <c r="F8" s="22">
        <v>66041</v>
      </c>
      <c r="G8" s="22">
        <v>25095.46</v>
      </c>
      <c r="H8" s="22">
        <v>53057</v>
      </c>
      <c r="I8" s="43">
        <f t="shared" si="0"/>
        <v>49798.364999999998</v>
      </c>
      <c r="J8" s="39">
        <v>4.5</v>
      </c>
      <c r="K8" s="47">
        <f t="shared" si="1"/>
        <v>8963705.6999999993</v>
      </c>
      <c r="L8" s="47">
        <f t="shared" si="2"/>
        <v>8963706</v>
      </c>
      <c r="M8" s="44">
        <f t="shared" si="3"/>
        <v>7619149.8449999997</v>
      </c>
      <c r="N8" s="47">
        <f t="shared" si="4"/>
        <v>7619150</v>
      </c>
      <c r="O8" s="44">
        <f t="shared" si="5"/>
        <v>4481852.8499999996</v>
      </c>
      <c r="P8" s="47">
        <f t="shared" si="6"/>
        <v>4481853</v>
      </c>
      <c r="Q8" s="44">
        <f t="shared" si="7"/>
        <v>5826408.7050000001</v>
      </c>
      <c r="R8" s="47">
        <f t="shared" si="8"/>
        <v>5826409</v>
      </c>
      <c r="S8" s="44">
        <f t="shared" si="9"/>
        <v>26891118</v>
      </c>
      <c r="T8" s="54"/>
    </row>
    <row r="9" spans="1:20" x14ac:dyDescent="0.25">
      <c r="A9" s="1"/>
      <c r="B9" s="25">
        <v>4</v>
      </c>
      <c r="C9" s="24" t="s">
        <v>14</v>
      </c>
      <c r="D9" s="27">
        <v>1</v>
      </c>
      <c r="E9" s="22">
        <v>600000</v>
      </c>
      <c r="F9" s="22">
        <v>660407</v>
      </c>
      <c r="G9" s="22">
        <v>429264.49</v>
      </c>
      <c r="H9" s="22">
        <v>570413</v>
      </c>
      <c r="I9" s="43">
        <f t="shared" si="0"/>
        <v>565021.12250000006</v>
      </c>
      <c r="J9" s="39">
        <v>4.5</v>
      </c>
      <c r="K9" s="47">
        <f t="shared" si="1"/>
        <v>101703802.05000001</v>
      </c>
      <c r="L9" s="47">
        <f t="shared" si="2"/>
        <v>101703802</v>
      </c>
      <c r="M9" s="44">
        <f t="shared" si="3"/>
        <v>86448231.742500007</v>
      </c>
      <c r="N9" s="47">
        <f t="shared" si="4"/>
        <v>86448232</v>
      </c>
      <c r="O9" s="44">
        <f t="shared" si="5"/>
        <v>50851901.025000006</v>
      </c>
      <c r="P9" s="47">
        <f t="shared" si="6"/>
        <v>50851901</v>
      </c>
      <c r="Q9" s="44">
        <f t="shared" si="7"/>
        <v>66107471.332500011</v>
      </c>
      <c r="R9" s="47">
        <f t="shared" si="8"/>
        <v>66107471</v>
      </c>
      <c r="S9" s="44">
        <f t="shared" si="9"/>
        <v>305111406</v>
      </c>
      <c r="T9" s="54"/>
    </row>
    <row r="10" spans="1:20" ht="25.5" x14ac:dyDescent="0.25">
      <c r="A10" s="1"/>
      <c r="B10" s="25">
        <v>5</v>
      </c>
      <c r="C10" s="24" t="s">
        <v>15</v>
      </c>
      <c r="D10" s="27">
        <v>1</v>
      </c>
      <c r="E10" s="22">
        <v>40000</v>
      </c>
      <c r="F10" s="22">
        <v>39624</v>
      </c>
      <c r="G10" s="22">
        <v>35001.57</v>
      </c>
      <c r="H10" s="22">
        <v>38469</v>
      </c>
      <c r="I10" s="43">
        <f t="shared" si="0"/>
        <v>38273.642500000002</v>
      </c>
      <c r="J10" s="39">
        <v>4.5</v>
      </c>
      <c r="K10" s="47">
        <f t="shared" si="1"/>
        <v>6889255.6500000004</v>
      </c>
      <c r="L10" s="47">
        <f t="shared" si="2"/>
        <v>6889256</v>
      </c>
      <c r="M10" s="44">
        <f t="shared" si="3"/>
        <v>5855867.3025000002</v>
      </c>
      <c r="N10" s="47">
        <f t="shared" si="4"/>
        <v>5855867</v>
      </c>
      <c r="O10" s="44">
        <f t="shared" si="5"/>
        <v>3444627.8250000002</v>
      </c>
      <c r="P10" s="47">
        <f t="shared" si="6"/>
        <v>3444628</v>
      </c>
      <c r="Q10" s="44">
        <f t="shared" si="7"/>
        <v>4478016.1725000003</v>
      </c>
      <c r="R10" s="47">
        <f t="shared" si="8"/>
        <v>4478016</v>
      </c>
      <c r="S10" s="44">
        <f t="shared" si="9"/>
        <v>20667767</v>
      </c>
      <c r="T10" s="54"/>
    </row>
    <row r="11" spans="1:20" ht="38.25" x14ac:dyDescent="0.25">
      <c r="A11" s="1"/>
      <c r="B11" s="25">
        <v>6</v>
      </c>
      <c r="C11" s="26" t="s">
        <v>17</v>
      </c>
      <c r="D11" s="27">
        <v>1</v>
      </c>
      <c r="E11" s="22">
        <v>70000</v>
      </c>
      <c r="F11" s="22">
        <v>59437</v>
      </c>
      <c r="G11" s="22">
        <v>15189.36</v>
      </c>
      <c r="H11" s="22">
        <v>60451</v>
      </c>
      <c r="I11" s="43">
        <f t="shared" si="0"/>
        <v>51269.34</v>
      </c>
      <c r="J11" s="39">
        <v>4.5</v>
      </c>
      <c r="K11" s="47">
        <f t="shared" si="1"/>
        <v>9228481.1999999993</v>
      </c>
      <c r="L11" s="47">
        <f t="shared" si="2"/>
        <v>9228481</v>
      </c>
      <c r="M11" s="44">
        <f t="shared" si="3"/>
        <v>7844209.0199999996</v>
      </c>
      <c r="N11" s="47">
        <f t="shared" si="4"/>
        <v>7844209</v>
      </c>
      <c r="O11" s="44">
        <f t="shared" si="5"/>
        <v>4614240.5999999996</v>
      </c>
      <c r="P11" s="47">
        <f t="shared" si="6"/>
        <v>4614241</v>
      </c>
      <c r="Q11" s="44">
        <f t="shared" si="7"/>
        <v>5998512.7799999993</v>
      </c>
      <c r="R11" s="47">
        <f t="shared" si="8"/>
        <v>5998513</v>
      </c>
      <c r="S11" s="44">
        <f t="shared" si="9"/>
        <v>27685444</v>
      </c>
      <c r="T11" s="54"/>
    </row>
    <row r="12" spans="1:20" ht="38.25" x14ac:dyDescent="0.25">
      <c r="A12" s="1"/>
      <c r="B12" s="25">
        <v>7</v>
      </c>
      <c r="C12" s="26" t="s">
        <v>16</v>
      </c>
      <c r="D12" s="27">
        <v>1</v>
      </c>
      <c r="E12" s="22">
        <v>900000</v>
      </c>
      <c r="F12" s="22">
        <v>231142</v>
      </c>
      <c r="G12" s="22">
        <v>429264.49</v>
      </c>
      <c r="H12" s="22">
        <v>855637</v>
      </c>
      <c r="I12" s="43">
        <f t="shared" si="0"/>
        <v>604010.87250000006</v>
      </c>
      <c r="J12" s="39">
        <v>4.5</v>
      </c>
      <c r="K12" s="47">
        <f>I12*40*J12</f>
        <v>108721957.05000001</v>
      </c>
      <c r="L12" s="47">
        <f t="shared" si="2"/>
        <v>108721957</v>
      </c>
      <c r="M12" s="44">
        <f t="shared" si="3"/>
        <v>92413663.492500007</v>
      </c>
      <c r="N12" s="47">
        <f t="shared" si="4"/>
        <v>92413663</v>
      </c>
      <c r="O12" s="44">
        <f t="shared" si="5"/>
        <v>54360978.525000006</v>
      </c>
      <c r="P12" s="47">
        <f t="shared" si="6"/>
        <v>54360979</v>
      </c>
      <c r="Q12" s="44">
        <f t="shared" si="7"/>
        <v>70669272.082500011</v>
      </c>
      <c r="R12" s="47">
        <f t="shared" si="8"/>
        <v>70669272</v>
      </c>
      <c r="S12" s="44">
        <f t="shared" si="9"/>
        <v>326165871</v>
      </c>
      <c r="T12" s="54"/>
    </row>
    <row r="13" spans="1:20" x14ac:dyDescent="0.25">
      <c r="A13" s="1"/>
      <c r="B13" s="96" t="s">
        <v>29</v>
      </c>
      <c r="C13" s="97"/>
      <c r="D13" s="97"/>
      <c r="E13" s="28">
        <f>SUM(E6:E12)</f>
        <v>3430000</v>
      </c>
      <c r="F13" s="28">
        <f>SUM(F6:F12)</f>
        <v>3302034</v>
      </c>
      <c r="G13" s="28">
        <f t="shared" ref="G13:I13" si="10">SUM(G6:G12)</f>
        <v>3302034.54</v>
      </c>
      <c r="H13" s="28">
        <f t="shared" si="10"/>
        <v>3297338</v>
      </c>
      <c r="I13" s="42">
        <f t="shared" si="10"/>
        <v>3332851.6350000002</v>
      </c>
      <c r="J13" s="30"/>
      <c r="K13" s="42">
        <f>SUM(K6:K12)</f>
        <v>599913294.29999995</v>
      </c>
      <c r="L13" s="42">
        <f>SUM(L6:L12)</f>
        <v>599913295</v>
      </c>
      <c r="M13" s="42">
        <f>SUM(M6:M12)</f>
        <v>509926300.15500009</v>
      </c>
      <c r="N13" s="42">
        <f>SUM(N6:N12)</f>
        <v>509926300</v>
      </c>
      <c r="O13" s="42">
        <f t="shared" ref="O13:P13" si="11">SUM(O6:O12)</f>
        <v>299956647.14999998</v>
      </c>
      <c r="P13" s="42">
        <f t="shared" si="11"/>
        <v>299956649</v>
      </c>
      <c r="Q13" s="42">
        <f t="shared" ref="Q13:S13" si="12">SUM(Q6:Q12)</f>
        <v>389943641.29499996</v>
      </c>
      <c r="R13" s="42">
        <f t="shared" ref="R13" si="13">SUM(R6:R12)</f>
        <v>389943641</v>
      </c>
      <c r="S13" s="42">
        <f t="shared" si="12"/>
        <v>1799739885</v>
      </c>
      <c r="T13" s="54"/>
    </row>
    <row r="14" spans="1:20" ht="15.75" x14ac:dyDescent="0.25">
      <c r="A14" s="1"/>
      <c r="B14" s="37" t="s">
        <v>30</v>
      </c>
      <c r="C14" s="38" t="s">
        <v>63</v>
      </c>
      <c r="D14" s="17"/>
      <c r="E14" s="18"/>
      <c r="F14" s="19"/>
      <c r="G14" s="20"/>
      <c r="H14" s="19"/>
      <c r="I14" s="21"/>
      <c r="J14" s="21"/>
      <c r="K14" s="18"/>
      <c r="L14" s="18"/>
      <c r="M14" s="18"/>
      <c r="N14" s="18"/>
      <c r="O14" s="18"/>
      <c r="P14" s="18"/>
      <c r="Q14" s="18"/>
      <c r="R14" s="18"/>
      <c r="S14" s="18"/>
    </row>
    <row r="15" spans="1:20" ht="15.75" x14ac:dyDescent="0.25">
      <c r="A15" s="1"/>
      <c r="B15" s="37" t="s">
        <v>30</v>
      </c>
      <c r="C15" s="3" t="s">
        <v>31</v>
      </c>
      <c r="D15" s="9"/>
      <c r="E15" s="10"/>
      <c r="F15" s="11"/>
      <c r="G15" s="5"/>
      <c r="H15" s="11"/>
      <c r="I15" s="6"/>
      <c r="J15" s="6"/>
      <c r="K15" s="1"/>
      <c r="L15" s="1"/>
    </row>
    <row r="16" spans="1:20" ht="15.75" x14ac:dyDescent="0.25">
      <c r="A16" s="1"/>
      <c r="B16" s="37" t="s">
        <v>30</v>
      </c>
      <c r="C16" s="3" t="s">
        <v>37</v>
      </c>
      <c r="D16" s="9"/>
      <c r="E16" s="10"/>
      <c r="F16" s="11"/>
      <c r="G16" s="5"/>
      <c r="H16" s="11"/>
      <c r="I16" s="6"/>
      <c r="J16" s="6"/>
      <c r="K16" s="1"/>
      <c r="L16" s="1"/>
    </row>
    <row r="17" spans="1:12" ht="15.75" x14ac:dyDescent="0.25">
      <c r="A17" s="1"/>
      <c r="B17" s="37"/>
      <c r="C17" s="3"/>
      <c r="D17" s="9"/>
      <c r="E17" s="10"/>
      <c r="F17" s="11"/>
      <c r="G17" s="5"/>
      <c r="H17" s="11"/>
      <c r="I17" s="6"/>
      <c r="J17" s="6"/>
      <c r="K17" s="1"/>
      <c r="L17" s="1"/>
    </row>
    <row r="18" spans="1:12" ht="15.75" x14ac:dyDescent="0.25">
      <c r="A18" s="1"/>
      <c r="B18" s="37"/>
      <c r="C18" s="3"/>
      <c r="D18" s="9"/>
      <c r="E18" s="10"/>
      <c r="F18" s="11"/>
      <c r="G18" s="5"/>
      <c r="H18" s="11"/>
      <c r="I18" s="6"/>
      <c r="J18" s="6"/>
      <c r="K18" s="1"/>
      <c r="L18" s="1"/>
    </row>
    <row r="19" spans="1:12" x14ac:dyDescent="0.25">
      <c r="A19" s="1"/>
      <c r="B19" s="8"/>
      <c r="C19" s="3"/>
      <c r="D19" s="9"/>
      <c r="E19" s="10"/>
      <c r="F19" s="11"/>
      <c r="G19" s="5"/>
      <c r="H19" s="11"/>
      <c r="I19" s="6"/>
      <c r="J19" s="6"/>
      <c r="K19" s="1"/>
      <c r="L19" s="1"/>
    </row>
    <row r="20" spans="1:12" x14ac:dyDescent="0.25">
      <c r="A20" s="1"/>
      <c r="B20" s="80" t="s">
        <v>1</v>
      </c>
      <c r="C20" s="80"/>
      <c r="D20" s="80"/>
      <c r="E20" s="4"/>
      <c r="F20" s="4"/>
      <c r="G20" s="4"/>
      <c r="H20" s="4"/>
      <c r="I20" s="4"/>
      <c r="J20" s="4"/>
      <c r="K20" s="1"/>
      <c r="L20" s="1"/>
    </row>
    <row r="21" spans="1:12" x14ac:dyDescent="0.25">
      <c r="A21" s="1"/>
      <c r="B21" s="81" t="s">
        <v>2</v>
      </c>
      <c r="C21" s="81"/>
      <c r="D21" s="81"/>
      <c r="E21" s="2"/>
      <c r="F21" s="2"/>
      <c r="G21" s="2"/>
      <c r="H21" s="2"/>
      <c r="I21" s="2"/>
      <c r="J21" s="2"/>
      <c r="K21" s="1"/>
      <c r="L21" s="1"/>
    </row>
    <row r="22" spans="1:12" x14ac:dyDescent="0.25">
      <c r="A22" s="1"/>
      <c r="B22" s="95" t="s">
        <v>39</v>
      </c>
      <c r="C22" s="95"/>
      <c r="D22" s="12"/>
      <c r="E22" s="2"/>
      <c r="F22" s="2"/>
      <c r="G22" s="2"/>
      <c r="H22" s="2"/>
      <c r="I22" s="2"/>
      <c r="J22" s="2"/>
      <c r="K22" s="1"/>
      <c r="L22" s="1"/>
    </row>
  </sheetData>
  <mergeCells count="12">
    <mergeCell ref="B21:D21"/>
    <mergeCell ref="B22:C22"/>
    <mergeCell ref="C4:C5"/>
    <mergeCell ref="B3:S3"/>
    <mergeCell ref="M1:S2"/>
    <mergeCell ref="B4:B5"/>
    <mergeCell ref="D4:D5"/>
    <mergeCell ref="B1:K2"/>
    <mergeCell ref="J4:J5"/>
    <mergeCell ref="B13:D13"/>
    <mergeCell ref="S4:S5"/>
    <mergeCell ref="B20:D20"/>
  </mergeCells>
  <pageMargins left="0.7" right="0.7" top="0.75" bottom="0.75" header="0.3" footer="0.3"/>
  <pageSetup orientation="landscape" horizontalDpi="4294967292"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65514-C675-42A2-8A00-4BA608A91B88}">
  <dimension ref="A1:O22"/>
  <sheetViews>
    <sheetView workbookViewId="0">
      <selection activeCell="I6" sqref="I6"/>
    </sheetView>
  </sheetViews>
  <sheetFormatPr baseColWidth="10" defaultRowHeight="15" x14ac:dyDescent="0.25"/>
  <cols>
    <col min="1" max="1" width="0.7109375" customWidth="1"/>
    <col min="2" max="2" width="6.42578125" customWidth="1"/>
    <col min="4" max="4" width="5.85546875" customWidth="1"/>
    <col min="5" max="5" width="10.7109375" customWidth="1"/>
    <col min="6" max="6" width="10.5703125" customWidth="1"/>
    <col min="7" max="7" width="11.28515625" customWidth="1"/>
    <col min="8" max="8" width="12" customWidth="1"/>
    <col min="9" max="9" width="11.7109375" customWidth="1"/>
    <col min="10" max="10" width="6" customWidth="1"/>
    <col min="11" max="12" width="9.85546875" customWidth="1"/>
    <col min="13" max="14" width="9.140625" customWidth="1"/>
    <col min="15" max="15" width="9.85546875" customWidth="1"/>
  </cols>
  <sheetData>
    <row r="1" spans="1:15" ht="36.6" customHeight="1" x14ac:dyDescent="0.25">
      <c r="A1" s="1"/>
      <c r="B1" s="91" t="s">
        <v>5</v>
      </c>
      <c r="C1" s="92"/>
      <c r="D1" s="92"/>
      <c r="E1" s="92"/>
      <c r="F1" s="92"/>
      <c r="G1" s="92"/>
      <c r="H1" s="92"/>
      <c r="I1" s="92"/>
      <c r="J1" s="58"/>
      <c r="K1" s="58"/>
      <c r="L1" s="1"/>
      <c r="M1" s="1"/>
      <c r="N1" s="1"/>
      <c r="O1" s="1"/>
    </row>
    <row r="2" spans="1:15" ht="37.700000000000003" customHeight="1" x14ac:dyDescent="0.25">
      <c r="A2" s="1"/>
      <c r="B2" s="89"/>
      <c r="C2" s="90"/>
      <c r="D2" s="90"/>
      <c r="E2" s="90"/>
      <c r="F2" s="90"/>
      <c r="G2" s="90"/>
      <c r="H2" s="90"/>
      <c r="I2" s="90"/>
      <c r="J2" s="59"/>
      <c r="K2" s="59"/>
      <c r="L2" s="60"/>
      <c r="M2" s="60"/>
      <c r="N2" s="60"/>
      <c r="O2" s="60"/>
    </row>
    <row r="3" spans="1:15" ht="42" customHeight="1" x14ac:dyDescent="0.25">
      <c r="A3" s="14"/>
      <c r="B3" s="115" t="s">
        <v>6</v>
      </c>
      <c r="C3" s="116"/>
      <c r="D3" s="116"/>
      <c r="E3" s="116"/>
      <c r="F3" s="116"/>
      <c r="G3" s="116"/>
      <c r="H3" s="116"/>
      <c r="I3" s="117"/>
      <c r="J3" s="61"/>
      <c r="K3" s="61"/>
      <c r="L3" s="61"/>
      <c r="M3" s="61"/>
      <c r="N3" s="61"/>
      <c r="O3" s="61"/>
    </row>
    <row r="4" spans="1:15" ht="38.450000000000003" customHeight="1" x14ac:dyDescent="0.25">
      <c r="A4" s="1"/>
      <c r="B4" s="85" t="s">
        <v>18</v>
      </c>
      <c r="C4" s="94" t="s">
        <v>4</v>
      </c>
      <c r="D4" s="85" t="s">
        <v>27</v>
      </c>
      <c r="E4" s="29" t="s">
        <v>22</v>
      </c>
      <c r="F4" s="29" t="s">
        <v>19</v>
      </c>
      <c r="G4" s="29" t="s">
        <v>21</v>
      </c>
      <c r="H4" s="29" t="s">
        <v>20</v>
      </c>
      <c r="I4" s="31" t="s">
        <v>9</v>
      </c>
      <c r="J4" s="85" t="s">
        <v>27</v>
      </c>
      <c r="K4" s="29" t="s">
        <v>23</v>
      </c>
      <c r="L4" s="29" t="s">
        <v>19</v>
      </c>
      <c r="M4" s="29" t="s">
        <v>25</v>
      </c>
      <c r="N4" s="29" t="s">
        <v>59</v>
      </c>
      <c r="O4" s="84" t="s">
        <v>28</v>
      </c>
    </row>
    <row r="5" spans="1:15" ht="27.75" customHeight="1" x14ac:dyDescent="0.25">
      <c r="A5" s="1"/>
      <c r="B5" s="93"/>
      <c r="C5" s="85"/>
      <c r="D5" s="93"/>
      <c r="E5" s="24" t="s">
        <v>0</v>
      </c>
      <c r="F5" s="24" t="s">
        <v>0</v>
      </c>
      <c r="G5" s="24" t="s">
        <v>0</v>
      </c>
      <c r="H5" s="24" t="s">
        <v>0</v>
      </c>
      <c r="I5" s="24" t="s">
        <v>0</v>
      </c>
      <c r="J5" s="93"/>
      <c r="K5" s="24" t="s">
        <v>26</v>
      </c>
      <c r="L5" s="24" t="s">
        <v>32</v>
      </c>
      <c r="M5" s="24" t="s">
        <v>24</v>
      </c>
      <c r="N5" s="24" t="s">
        <v>33</v>
      </c>
      <c r="O5" s="85"/>
    </row>
    <row r="6" spans="1:15" x14ac:dyDescent="0.25">
      <c r="A6" s="1"/>
      <c r="B6" s="23">
        <v>1</v>
      </c>
      <c r="C6" s="24" t="s">
        <v>11</v>
      </c>
      <c r="D6" s="27">
        <v>1</v>
      </c>
      <c r="E6" s="22">
        <v>105000</v>
      </c>
      <c r="F6" s="22">
        <v>66041</v>
      </c>
      <c r="G6" s="22">
        <v>188876.38</v>
      </c>
      <c r="H6" s="22">
        <v>103979</v>
      </c>
      <c r="I6" s="43">
        <f>AVERAGE(E6,F6,G6,H6)</f>
        <v>115974.095</v>
      </c>
      <c r="J6" s="39">
        <v>4.5</v>
      </c>
      <c r="K6" s="47">
        <f>I6*40*J6</f>
        <v>20875337.099999998</v>
      </c>
      <c r="L6" s="44">
        <f>I6*34*J6</f>
        <v>17744036.535</v>
      </c>
      <c r="M6" s="44">
        <f>I6*20*J6</f>
        <v>10437668.549999999</v>
      </c>
      <c r="N6" s="44">
        <f>I6*26*J6</f>
        <v>13568969.115</v>
      </c>
      <c r="O6" s="44">
        <f>K6+L6+M6+N6</f>
        <v>62626011.299999997</v>
      </c>
    </row>
    <row r="7" spans="1:15" ht="25.5" x14ac:dyDescent="0.25">
      <c r="A7" s="1"/>
      <c r="B7" s="25">
        <v>2</v>
      </c>
      <c r="C7" s="24" t="s">
        <v>12</v>
      </c>
      <c r="D7" s="27">
        <v>1</v>
      </c>
      <c r="E7" s="22">
        <v>1660000</v>
      </c>
      <c r="F7" s="22">
        <v>2179342</v>
      </c>
      <c r="G7" s="22">
        <v>2179342.79</v>
      </c>
      <c r="H7" s="22">
        <v>1615332</v>
      </c>
      <c r="I7" s="43">
        <f t="shared" ref="I7:I12" si="0">AVERAGE(E7,F7,G7,H7)</f>
        <v>1908504.1975</v>
      </c>
      <c r="J7" s="39">
        <v>4.5</v>
      </c>
      <c r="K7" s="47">
        <f t="shared" ref="K7:K12" si="1">I7*40*J7</f>
        <v>343530755.55000001</v>
      </c>
      <c r="L7" s="44">
        <f t="shared" ref="L7:L12" si="2">I7*34*J7</f>
        <v>292001142.21750003</v>
      </c>
      <c r="M7" s="44">
        <f t="shared" ref="M7:M12" si="3">I7*20*J7</f>
        <v>171765377.77500001</v>
      </c>
      <c r="N7" s="44">
        <f t="shared" ref="N7:N12" si="4">I7*26*J7</f>
        <v>223294991.10749999</v>
      </c>
      <c r="O7" s="44">
        <f t="shared" ref="O7:O12" si="5">K7+L7+M7+N7</f>
        <v>1030592266.65</v>
      </c>
    </row>
    <row r="8" spans="1:15" ht="38.25" x14ac:dyDescent="0.25">
      <c r="A8" s="1"/>
      <c r="B8" s="25">
        <v>3</v>
      </c>
      <c r="C8" s="24" t="s">
        <v>13</v>
      </c>
      <c r="D8" s="27">
        <v>1</v>
      </c>
      <c r="E8" s="22">
        <v>55000</v>
      </c>
      <c r="F8" s="22">
        <v>66041</v>
      </c>
      <c r="G8" s="22">
        <v>25095.46</v>
      </c>
      <c r="H8" s="22">
        <v>53057</v>
      </c>
      <c r="I8" s="43">
        <f t="shared" si="0"/>
        <v>49798.364999999998</v>
      </c>
      <c r="J8" s="39">
        <v>4.5</v>
      </c>
      <c r="K8" s="47">
        <f t="shared" si="1"/>
        <v>8963705.6999999993</v>
      </c>
      <c r="L8" s="44">
        <f t="shared" si="2"/>
        <v>7619149.8449999997</v>
      </c>
      <c r="M8" s="44">
        <f t="shared" si="3"/>
        <v>4481852.8499999996</v>
      </c>
      <c r="N8" s="44">
        <f t="shared" si="4"/>
        <v>5826408.7050000001</v>
      </c>
      <c r="O8" s="44">
        <f t="shared" si="5"/>
        <v>26891117.099999994</v>
      </c>
    </row>
    <row r="9" spans="1:15" x14ac:dyDescent="0.25">
      <c r="A9" s="1"/>
      <c r="B9" s="25">
        <v>4</v>
      </c>
      <c r="C9" s="24" t="s">
        <v>14</v>
      </c>
      <c r="D9" s="27">
        <v>1</v>
      </c>
      <c r="E9" s="22">
        <v>600000</v>
      </c>
      <c r="F9" s="22">
        <v>660407</v>
      </c>
      <c r="G9" s="22">
        <v>429264.49</v>
      </c>
      <c r="H9" s="22">
        <v>570413</v>
      </c>
      <c r="I9" s="43">
        <f t="shared" si="0"/>
        <v>565021.12250000006</v>
      </c>
      <c r="J9" s="39">
        <v>4.5</v>
      </c>
      <c r="K9" s="47">
        <f t="shared" si="1"/>
        <v>101703802.05000001</v>
      </c>
      <c r="L9" s="44">
        <f t="shared" si="2"/>
        <v>86448231.742500007</v>
      </c>
      <c r="M9" s="44">
        <f t="shared" si="3"/>
        <v>50851901.025000006</v>
      </c>
      <c r="N9" s="44">
        <f t="shared" si="4"/>
        <v>66107471.332500011</v>
      </c>
      <c r="O9" s="44">
        <f t="shared" si="5"/>
        <v>305111406.15000004</v>
      </c>
    </row>
    <row r="10" spans="1:15" ht="25.5" x14ac:dyDescent="0.25">
      <c r="A10" s="1"/>
      <c r="B10" s="25">
        <v>5</v>
      </c>
      <c r="C10" s="24" t="s">
        <v>15</v>
      </c>
      <c r="D10" s="27">
        <v>1</v>
      </c>
      <c r="E10" s="22">
        <v>40000</v>
      </c>
      <c r="F10" s="22">
        <v>39624</v>
      </c>
      <c r="G10" s="22">
        <v>35001.57</v>
      </c>
      <c r="H10" s="22">
        <v>38469</v>
      </c>
      <c r="I10" s="43">
        <f t="shared" si="0"/>
        <v>38273.642500000002</v>
      </c>
      <c r="J10" s="39">
        <v>4.5</v>
      </c>
      <c r="K10" s="47">
        <f t="shared" si="1"/>
        <v>6889255.6500000004</v>
      </c>
      <c r="L10" s="44">
        <f t="shared" si="2"/>
        <v>5855867.3025000002</v>
      </c>
      <c r="M10" s="44">
        <f t="shared" si="3"/>
        <v>3444627.8250000002</v>
      </c>
      <c r="N10" s="44">
        <f t="shared" si="4"/>
        <v>4478016.1725000003</v>
      </c>
      <c r="O10" s="44">
        <f t="shared" si="5"/>
        <v>20667766.949999999</v>
      </c>
    </row>
    <row r="11" spans="1:15" ht="38.25" x14ac:dyDescent="0.25">
      <c r="A11" s="1"/>
      <c r="B11" s="25">
        <v>6</v>
      </c>
      <c r="C11" s="26" t="s">
        <v>17</v>
      </c>
      <c r="D11" s="27">
        <v>1</v>
      </c>
      <c r="E11" s="22">
        <v>70000</v>
      </c>
      <c r="F11" s="22">
        <v>59437</v>
      </c>
      <c r="G11" s="22">
        <v>15189.36</v>
      </c>
      <c r="H11" s="22">
        <v>60451</v>
      </c>
      <c r="I11" s="43">
        <f t="shared" si="0"/>
        <v>51269.34</v>
      </c>
      <c r="J11" s="39">
        <v>4.5</v>
      </c>
      <c r="K11" s="47">
        <f t="shared" si="1"/>
        <v>9228481.1999999993</v>
      </c>
      <c r="L11" s="44">
        <f t="shared" si="2"/>
        <v>7844209.0199999996</v>
      </c>
      <c r="M11" s="44">
        <f t="shared" si="3"/>
        <v>4614240.5999999996</v>
      </c>
      <c r="N11" s="44">
        <f t="shared" si="4"/>
        <v>5998512.7799999993</v>
      </c>
      <c r="O11" s="44">
        <f t="shared" si="5"/>
        <v>27685443.600000001</v>
      </c>
    </row>
    <row r="12" spans="1:15" ht="38.25" x14ac:dyDescent="0.25">
      <c r="A12" s="1"/>
      <c r="B12" s="25">
        <v>7</v>
      </c>
      <c r="C12" s="26" t="s">
        <v>16</v>
      </c>
      <c r="D12" s="27">
        <v>1</v>
      </c>
      <c r="E12" s="22">
        <v>900000</v>
      </c>
      <c r="F12" s="22">
        <v>231142</v>
      </c>
      <c r="G12" s="22">
        <v>429264.49</v>
      </c>
      <c r="H12" s="22">
        <v>855637</v>
      </c>
      <c r="I12" s="43">
        <f t="shared" si="0"/>
        <v>604010.87250000006</v>
      </c>
      <c r="J12" s="39">
        <v>4.5</v>
      </c>
      <c r="K12" s="47">
        <f t="shared" si="1"/>
        <v>108721957.05000001</v>
      </c>
      <c r="L12" s="44">
        <f t="shared" si="2"/>
        <v>92413663.492500007</v>
      </c>
      <c r="M12" s="44">
        <f t="shared" si="3"/>
        <v>54360978.525000006</v>
      </c>
      <c r="N12" s="44">
        <f t="shared" si="4"/>
        <v>70669272.082500011</v>
      </c>
      <c r="O12" s="44">
        <f t="shared" si="5"/>
        <v>326165871.15000004</v>
      </c>
    </row>
    <row r="13" spans="1:15" x14ac:dyDescent="0.25">
      <c r="A13" s="1"/>
      <c r="B13" s="96" t="s">
        <v>29</v>
      </c>
      <c r="C13" s="97"/>
      <c r="D13" s="97"/>
      <c r="E13" s="28">
        <f>SUM(E6:E12)</f>
        <v>3430000</v>
      </c>
      <c r="F13" s="28">
        <f>SUM(F6:F12)</f>
        <v>3302034</v>
      </c>
      <c r="G13" s="28">
        <f t="shared" ref="G13:I13" si="6">SUM(G6:G12)</f>
        <v>3302034.54</v>
      </c>
      <c r="H13" s="28">
        <f t="shared" si="6"/>
        <v>3297338</v>
      </c>
      <c r="I13" s="42">
        <f t="shared" si="6"/>
        <v>3332851.6350000002</v>
      </c>
      <c r="J13" s="30"/>
      <c r="K13" s="42">
        <f>SUM(K6:K12)</f>
        <v>599913294.29999995</v>
      </c>
      <c r="L13" s="42">
        <f>SUM(L6:L12)</f>
        <v>509926300.15500009</v>
      </c>
      <c r="M13" s="42">
        <f t="shared" ref="M13:O13" si="7">SUM(M6:M12)</f>
        <v>299956647.14999998</v>
      </c>
      <c r="N13" s="42">
        <f t="shared" si="7"/>
        <v>389943641.29499996</v>
      </c>
      <c r="O13" s="42">
        <f t="shared" si="7"/>
        <v>1799739882.9000001</v>
      </c>
    </row>
    <row r="14" spans="1:15" ht="15.75" x14ac:dyDescent="0.25">
      <c r="A14" s="1"/>
      <c r="B14" s="37" t="s">
        <v>30</v>
      </c>
      <c r="C14" s="38" t="s">
        <v>34</v>
      </c>
      <c r="D14" s="17"/>
      <c r="E14" s="18"/>
      <c r="F14" s="19"/>
      <c r="G14" s="20"/>
      <c r="H14" s="19"/>
      <c r="I14" s="21"/>
      <c r="J14" s="21"/>
      <c r="K14" s="18"/>
      <c r="L14" s="18"/>
      <c r="M14" s="18"/>
      <c r="N14" s="18"/>
      <c r="O14" s="18"/>
    </row>
    <row r="15" spans="1:15" ht="15.75" x14ac:dyDescent="0.25">
      <c r="A15" s="1"/>
      <c r="B15" s="37" t="s">
        <v>30</v>
      </c>
      <c r="C15" s="3" t="s">
        <v>37</v>
      </c>
      <c r="D15" s="9"/>
      <c r="E15" s="10"/>
      <c r="F15" s="11"/>
      <c r="G15" s="5"/>
      <c r="H15" s="11"/>
      <c r="I15" s="6"/>
      <c r="J15" s="6"/>
      <c r="K15" s="1"/>
    </row>
    <row r="16" spans="1:15" ht="15.75" x14ac:dyDescent="0.25">
      <c r="A16" s="1"/>
      <c r="B16" s="37"/>
      <c r="D16" s="9"/>
      <c r="E16" s="10"/>
      <c r="F16" s="11"/>
      <c r="G16" s="5"/>
      <c r="H16" s="11"/>
      <c r="I16" s="6"/>
      <c r="J16" s="6"/>
      <c r="K16" s="1"/>
    </row>
    <row r="17" spans="1:11" ht="15.75" x14ac:dyDescent="0.25">
      <c r="A17" s="1"/>
      <c r="B17" s="37"/>
      <c r="C17" s="3"/>
      <c r="D17" s="9"/>
      <c r="E17" s="10"/>
      <c r="F17" s="11"/>
      <c r="G17" s="5"/>
      <c r="H17" s="11"/>
      <c r="I17" s="6"/>
      <c r="J17" s="6"/>
      <c r="K17" s="1"/>
    </row>
    <row r="18" spans="1:11" ht="15.75" x14ac:dyDescent="0.25">
      <c r="A18" s="1"/>
      <c r="B18" s="37"/>
      <c r="C18" s="3"/>
      <c r="D18" s="9"/>
      <c r="E18" s="10"/>
      <c r="F18" s="11"/>
      <c r="G18" s="5"/>
      <c r="H18" s="11" t="s">
        <v>60</v>
      </c>
      <c r="I18" s="6"/>
      <c r="J18" s="6"/>
      <c r="K18" s="1"/>
    </row>
    <row r="19" spans="1:11" x14ac:dyDescent="0.25">
      <c r="A19" s="1"/>
      <c r="B19" s="8"/>
      <c r="C19" s="3"/>
      <c r="D19" s="9"/>
      <c r="E19" s="10"/>
      <c r="F19" s="11"/>
      <c r="G19" s="5"/>
      <c r="H19" s="11"/>
      <c r="I19" s="6"/>
      <c r="J19" s="6"/>
      <c r="K19" s="1"/>
    </row>
    <row r="20" spans="1:11" x14ac:dyDescent="0.25">
      <c r="A20" s="1"/>
      <c r="B20" s="80" t="s">
        <v>1</v>
      </c>
      <c r="C20" s="80"/>
      <c r="D20" s="80"/>
      <c r="E20" s="4"/>
      <c r="F20" s="4"/>
      <c r="G20" s="4"/>
      <c r="H20" s="4"/>
      <c r="I20" s="4"/>
      <c r="J20" s="4"/>
      <c r="K20" s="1"/>
    </row>
    <row r="21" spans="1:11" x14ac:dyDescent="0.25">
      <c r="A21" s="1"/>
      <c r="B21" s="81" t="s">
        <v>2</v>
      </c>
      <c r="C21" s="81"/>
      <c r="D21" s="81"/>
      <c r="E21" s="2"/>
      <c r="F21" s="2"/>
      <c r="G21" s="2"/>
      <c r="H21" s="2"/>
      <c r="I21" s="2"/>
      <c r="J21" s="2"/>
      <c r="K21" s="1"/>
    </row>
    <row r="22" spans="1:11" x14ac:dyDescent="0.25">
      <c r="A22" s="1"/>
      <c r="B22" s="95" t="s">
        <v>39</v>
      </c>
      <c r="C22" s="95"/>
      <c r="D22" s="12"/>
      <c r="E22" s="2"/>
      <c r="F22" s="2"/>
      <c r="G22" s="2"/>
      <c r="H22" s="2"/>
      <c r="I22" s="2"/>
      <c r="J22" s="2"/>
      <c r="K22" s="1"/>
    </row>
  </sheetData>
  <mergeCells count="12">
    <mergeCell ref="B13:D13"/>
    <mergeCell ref="B20:D20"/>
    <mergeCell ref="B21:D21"/>
    <mergeCell ref="B22:C22"/>
    <mergeCell ref="B1:G2"/>
    <mergeCell ref="J4:J5"/>
    <mergeCell ref="O4:O5"/>
    <mergeCell ref="H1:I2"/>
    <mergeCell ref="B3:I3"/>
    <mergeCell ref="B4:B5"/>
    <mergeCell ref="C4:C5"/>
    <mergeCell ref="D4:D5"/>
  </mergeCells>
  <pageMargins left="0.7" right="0.7" top="0.75" bottom="0.75" header="0.3" footer="0.3"/>
  <pageSetup orientation="landscape" horizontalDpi="4294967292"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GRUPO 1</vt:lpstr>
      <vt:lpstr>GRUPO 2</vt:lpstr>
      <vt:lpstr>GRUPO 3</vt:lpstr>
      <vt:lpstr>GRUPO 4</vt:lpstr>
      <vt:lpstr>RESUMEN</vt:lpstr>
      <vt:lpstr>ESTUDIO DE MERCADO</vt:lpstr>
      <vt:lpstr>Hoja1 (2)</vt:lpstr>
      <vt:lpstr>RESUMEN!Área_de_impresión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Lena Mendoza</cp:lastModifiedBy>
  <cp:lastPrinted>2024-01-25T17:21:25Z</cp:lastPrinted>
  <dcterms:created xsi:type="dcterms:W3CDTF">2015-06-05T18:19:34Z</dcterms:created>
  <dcterms:modified xsi:type="dcterms:W3CDTF">2024-02-08T15:18:35Z</dcterms:modified>
</cp:coreProperties>
</file>