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documentos\cgomez\PROCESOS 2024\CONCURSO DE MERITOS\CONSULTORIA TOBOGAN\"/>
    </mc:Choice>
  </mc:AlternateContent>
  <xr:revisionPtr revIDLastSave="0" documentId="8_{89D97114-0180-45F5-B967-A13816A56D10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CONSULTORIA_OBRA" sheetId="2" r:id="rId1"/>
    <sheet name="Construccion" sheetId="4" state="hidden" r:id="rId2"/>
    <sheet name="Movimiento" sheetId="3" state="hidden" r:id="rId3"/>
  </sheets>
  <calcPr calcId="191029"/>
</workbook>
</file>

<file path=xl/calcChain.xml><?xml version="1.0" encoding="utf-8"?>
<calcChain xmlns="http://schemas.openxmlformats.org/spreadsheetml/2006/main">
  <c r="T26" i="2" l="1"/>
  <c r="T25" i="2"/>
  <c r="T24" i="2"/>
  <c r="T12" i="2"/>
  <c r="T23" i="2"/>
  <c r="T11" i="2"/>
  <c r="T10" i="2"/>
  <c r="T9" i="2"/>
  <c r="T8" i="2"/>
  <c r="G23" i="2"/>
  <c r="H23" i="2"/>
  <c r="I23" i="2"/>
  <c r="J23" i="2"/>
  <c r="F23" i="2"/>
  <c r="G19" i="2"/>
  <c r="H19" i="2"/>
  <c r="I19" i="2"/>
  <c r="J19" i="2"/>
  <c r="F19" i="2"/>
  <c r="G15" i="2"/>
  <c r="H15" i="2"/>
  <c r="I15" i="2"/>
  <c r="J15" i="2"/>
  <c r="F15" i="2"/>
  <c r="G12" i="2"/>
  <c r="H12" i="2"/>
  <c r="I12" i="2"/>
  <c r="J12" i="2"/>
  <c r="F12" i="2"/>
  <c r="S9" i="2"/>
  <c r="S8" i="2"/>
  <c r="S6" i="2"/>
  <c r="R6" i="2"/>
  <c r="R22" i="2"/>
  <c r="R18" i="2"/>
  <c r="R14" i="2"/>
  <c r="R11" i="2"/>
  <c r="R10" i="2"/>
  <c r="R9" i="2"/>
  <c r="R8" i="2"/>
  <c r="R7" i="2"/>
  <c r="Q22" i="2"/>
  <c r="Q18" i="2"/>
  <c r="Q14" i="2"/>
  <c r="Q11" i="2"/>
  <c r="Q10" i="2"/>
  <c r="Q9" i="2"/>
  <c r="Q8" i="2"/>
  <c r="Q7" i="2"/>
  <c r="Q6" i="2"/>
  <c r="P22" i="2"/>
  <c r="P18" i="2"/>
  <c r="P14" i="2"/>
  <c r="P11" i="2"/>
  <c r="P10" i="2"/>
  <c r="P9" i="2"/>
  <c r="P8" i="2"/>
  <c r="P7" i="2"/>
  <c r="P6" i="2"/>
  <c r="O23" i="2"/>
  <c r="O22" i="2"/>
  <c r="O18" i="2"/>
  <c r="O14" i="2"/>
  <c r="O11" i="2"/>
  <c r="O10" i="2"/>
  <c r="O9" i="2"/>
  <c r="O8" i="2"/>
  <c r="O7" i="2"/>
  <c r="O6" i="2"/>
  <c r="M22" i="2"/>
  <c r="M14" i="2"/>
  <c r="L14" i="2"/>
  <c r="M11" i="2"/>
  <c r="M9" i="2"/>
  <c r="M7" i="2"/>
  <c r="M6" i="2"/>
  <c r="K22" i="2"/>
  <c r="K6" i="2"/>
  <c r="M23" i="2" l="1"/>
  <c r="S7" i="2" l="1"/>
  <c r="T7" i="2" s="1"/>
  <c r="S10" i="2"/>
  <c r="S11" i="2"/>
  <c r="S18" i="2"/>
  <c r="T18" i="2" s="1"/>
  <c r="S22" i="2"/>
  <c r="T22" i="2" s="1"/>
  <c r="M16" i="2"/>
  <c r="M19" i="2"/>
  <c r="M20" i="2"/>
  <c r="L16" i="2"/>
  <c r="L17" i="2"/>
  <c r="L18" i="2"/>
  <c r="N18" i="2" s="1"/>
  <c r="L19" i="2"/>
  <c r="L20" i="2"/>
  <c r="L21" i="2"/>
  <c r="L22" i="2"/>
  <c r="N22" i="2" s="1"/>
  <c r="L13" i="2"/>
  <c r="L7" i="2"/>
  <c r="L8" i="2"/>
  <c r="N8" i="2" s="1"/>
  <c r="L9" i="2"/>
  <c r="N9" i="2" s="1"/>
  <c r="L10" i="2"/>
  <c r="N10" i="2" s="1"/>
  <c r="L11" i="2"/>
  <c r="N11" i="2" s="1"/>
  <c r="L6" i="2"/>
  <c r="K10" i="2"/>
  <c r="K9" i="2"/>
  <c r="K8" i="2"/>
  <c r="K7" i="2"/>
  <c r="K11" i="2"/>
  <c r="G10" i="2"/>
  <c r="G8" i="2"/>
  <c r="G7" i="2"/>
  <c r="I10" i="2"/>
  <c r="I9" i="2"/>
  <c r="I8" i="2"/>
  <c r="I7" i="2"/>
  <c r="I22" i="2"/>
  <c r="I18" i="2"/>
  <c r="I14" i="2"/>
  <c r="I11" i="2"/>
  <c r="I6" i="2"/>
  <c r="G22" i="2"/>
  <c r="G18" i="2"/>
  <c r="G14" i="2"/>
  <c r="G9" i="2"/>
  <c r="G11" i="2"/>
  <c r="G6" i="2"/>
  <c r="P23" i="2" l="1"/>
  <c r="P12" i="2"/>
  <c r="N7" i="2"/>
  <c r="Q12" i="2"/>
  <c r="S12" i="2" s="1"/>
  <c r="M12" i="2"/>
  <c r="R12" i="2"/>
  <c r="L12" i="2"/>
  <c r="N6" i="2"/>
  <c r="T6" i="2"/>
  <c r="R23" i="2"/>
  <c r="K23" i="2"/>
  <c r="N14" i="2"/>
  <c r="L23" i="2"/>
  <c r="S14" i="2"/>
  <c r="Q23" i="2"/>
  <c r="G24" i="2"/>
  <c r="G25" i="2" s="1"/>
  <c r="G26" i="2" s="1"/>
  <c r="K12" i="2"/>
  <c r="F19" i="4"/>
  <c r="H19" i="4" s="1"/>
  <c r="F20" i="4"/>
  <c r="H20" i="4" s="1"/>
  <c r="F21" i="4"/>
  <c r="H21" i="4" s="1"/>
  <c r="F23" i="4"/>
  <c r="F24" i="4"/>
  <c r="H24" i="4" s="1"/>
  <c r="F9" i="4"/>
  <c r="F10" i="4"/>
  <c r="F12" i="4"/>
  <c r="F13" i="4"/>
  <c r="K20" i="4"/>
  <c r="J20" i="4"/>
  <c r="H15" i="4"/>
  <c r="H16" i="4"/>
  <c r="H17" i="4"/>
  <c r="D15" i="4"/>
  <c r="H9" i="4"/>
  <c r="H10" i="4"/>
  <c r="H12" i="4"/>
  <c r="H13" i="4"/>
  <c r="H23" i="4"/>
  <c r="H26" i="4"/>
  <c r="H27" i="4"/>
  <c r="H28" i="4"/>
  <c r="H29" i="4"/>
  <c r="H30" i="4"/>
  <c r="H31" i="4"/>
  <c r="H32" i="4"/>
  <c r="H33" i="4"/>
  <c r="H34" i="4"/>
  <c r="H35" i="4"/>
  <c r="H36" i="4"/>
  <c r="H37" i="4"/>
  <c r="G7" i="4"/>
  <c r="C18" i="4"/>
  <c r="F18" i="4" s="1"/>
  <c r="H18" i="4" s="1"/>
  <c r="C19" i="4"/>
  <c r="C20" i="4"/>
  <c r="C21" i="4"/>
  <c r="C22" i="4"/>
  <c r="F22" i="4" s="1"/>
  <c r="H22" i="4" s="1"/>
  <c r="C23" i="4"/>
  <c r="C24" i="4"/>
  <c r="C25" i="4"/>
  <c r="F25" i="4" s="1"/>
  <c r="H25" i="4" s="1"/>
  <c r="C7" i="4"/>
  <c r="F7" i="4" s="1"/>
  <c r="H7" i="4" s="1"/>
  <c r="C8" i="4"/>
  <c r="F8" i="4" s="1"/>
  <c r="H8" i="4" s="1"/>
  <c r="C9" i="4"/>
  <c r="C10" i="4"/>
  <c r="C11" i="4"/>
  <c r="F11" i="4" s="1"/>
  <c r="H11" i="4" s="1"/>
  <c r="C12" i="4"/>
  <c r="C13" i="4"/>
  <c r="C14" i="4"/>
  <c r="F14" i="4" s="1"/>
  <c r="H14" i="4" s="1"/>
  <c r="J7" i="3"/>
  <c r="K7" i="3" s="1"/>
  <c r="J8" i="3"/>
  <c r="K8" i="3" s="1"/>
  <c r="J9" i="3"/>
  <c r="K9" i="3" s="1"/>
  <c r="J10" i="3"/>
  <c r="K10" i="3" s="1"/>
  <c r="J11" i="3"/>
  <c r="K11" i="3" s="1"/>
  <c r="J13" i="3"/>
  <c r="K13" i="3" s="1"/>
  <c r="J14" i="3"/>
  <c r="K14" i="3" s="1"/>
  <c r="J16" i="3"/>
  <c r="K16" i="3" s="1"/>
  <c r="J17" i="3"/>
  <c r="K17" i="3" s="1"/>
  <c r="K18" i="3"/>
  <c r="K19" i="3"/>
  <c r="K20" i="3"/>
  <c r="K21" i="3"/>
  <c r="K22" i="3"/>
  <c r="K23" i="3"/>
  <c r="K24" i="3"/>
  <c r="K25" i="3"/>
  <c r="K26" i="3"/>
  <c r="K27" i="3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3" i="3"/>
  <c r="K43" i="3" s="1"/>
  <c r="K24" i="2" l="1"/>
  <c r="K25" i="2" s="1"/>
  <c r="K26" i="2" s="1"/>
  <c r="T14" i="2"/>
  <c r="S23" i="2"/>
  <c r="N23" i="2"/>
  <c r="I24" i="2"/>
  <c r="I25" i="2" s="1"/>
  <c r="I26" i="2" s="1"/>
  <c r="J15" i="3"/>
  <c r="K15" i="3" s="1"/>
  <c r="J44" i="3"/>
  <c r="J45" i="3" s="1"/>
  <c r="J50" i="3" s="1"/>
  <c r="K50" i="3" s="1"/>
  <c r="J12" i="3"/>
  <c r="K12" i="3" l="1"/>
  <c r="K4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CASTRO</author>
  </authors>
  <commentList>
    <comment ref="F20" authorId="0" shapeId="0" xr:uid="{D0D62309-679E-46F8-8DFE-0925B463EE37}">
      <text>
        <r>
          <rPr>
            <b/>
            <sz val="9"/>
            <color indexed="81"/>
            <rFont val="Tahoma"/>
            <family val="2"/>
          </rPr>
          <t>DAVID CASTRO:</t>
        </r>
        <r>
          <rPr>
            <sz val="9"/>
            <color indexed="81"/>
            <rFont val="Tahoma"/>
            <family val="2"/>
          </rPr>
          <t xml:space="preserve">
5 kilos</t>
        </r>
      </text>
    </comment>
  </commentList>
</comments>
</file>

<file path=xl/sharedStrings.xml><?xml version="1.0" encoding="utf-8"?>
<sst xmlns="http://schemas.openxmlformats.org/spreadsheetml/2006/main" count="214" uniqueCount="163">
  <si>
    <t>ITEM</t>
  </si>
  <si>
    <t>CANTIDAD</t>
  </si>
  <si>
    <t>MESES</t>
  </si>
  <si>
    <t>MONTO</t>
  </si>
  <si>
    <t>Administración</t>
  </si>
  <si>
    <t>Imprevistos</t>
  </si>
  <si>
    <t>Utilidad</t>
  </si>
  <si>
    <t>TOTAL PROYECTO</t>
  </si>
  <si>
    <t>TOTAL PROYECTO DE MOVIMIENTO DE TIERRAS PARA 10 BODEGAS</t>
  </si>
  <si>
    <t>Iva sobre la utilidad</t>
  </si>
  <si>
    <t>TOTAL COSTO DIRECTO</t>
  </si>
  <si>
    <t>SUB TOTAL</t>
  </si>
  <si>
    <t>ml</t>
  </si>
  <si>
    <t>9.3</t>
  </si>
  <si>
    <t>9.2</t>
  </si>
  <si>
    <t>Relleno con material de sitio para Conexión de manholes a PTAR</t>
  </si>
  <si>
    <t>Excavación para Conexión de manholes a PTAR</t>
  </si>
  <si>
    <t>9.1</t>
  </si>
  <si>
    <t>CONEXION DE MANHOLES A PTAR</t>
  </si>
  <si>
    <t>9.0</t>
  </si>
  <si>
    <t>un</t>
  </si>
  <si>
    <t>Construcción de registros</t>
  </si>
  <si>
    <t>8.5</t>
  </si>
  <si>
    <t>Construcción de Pozo de Inspección h &lt; 1.8 m (incluye tapa) en concreto f´c = 3000 psi</t>
  </si>
  <si>
    <t>8.4</t>
  </si>
  <si>
    <t>Suministro e instalación de Tubería en PVC perfilada d=200 mm (8") para alcantarillado aguas negras</t>
  </si>
  <si>
    <t>8.3</t>
  </si>
  <si>
    <t>m3</t>
  </si>
  <si>
    <t>Relleno con material de sitio red de alcantarillado aguas negras</t>
  </si>
  <si>
    <t>8.2</t>
  </si>
  <si>
    <t>Excavación para red de alcantarillado</t>
  </si>
  <si>
    <t>8.1</t>
  </si>
  <si>
    <t>ALCANTARILLADO AGUAS NEGRAS</t>
  </si>
  <si>
    <t>8.0</t>
  </si>
  <si>
    <t>Caja de Válvula de 3"</t>
  </si>
  <si>
    <t>7.1</t>
  </si>
  <si>
    <t>CONCRETOS</t>
  </si>
  <si>
    <t>7.0</t>
  </si>
  <si>
    <t>Suministro e instalación de tubería PVC d=3" - 75 mm RDE21</t>
  </si>
  <si>
    <t>6.3</t>
  </si>
  <si>
    <t>Relleno para red de acueducto</t>
  </si>
  <si>
    <t>6.2</t>
  </si>
  <si>
    <t>Excavación para red de acueducto</t>
  </si>
  <si>
    <t>6.1</t>
  </si>
  <si>
    <t>-</t>
  </si>
  <si>
    <t>ACUEDUCTO</t>
  </si>
  <si>
    <t>6.0</t>
  </si>
  <si>
    <t>und</t>
  </si>
  <si>
    <t>Cajas para comunicaciones</t>
  </si>
  <si>
    <t>5.3</t>
  </si>
  <si>
    <t>ml.</t>
  </si>
  <si>
    <t>Banco de ducto subterráneo de comunicaciones de 4xø4" PVC</t>
  </si>
  <si>
    <t>5.2</t>
  </si>
  <si>
    <t>Banco de ducto subterráneo de comunicaciones de 1xø2" PVC</t>
  </si>
  <si>
    <t>5.1</t>
  </si>
  <si>
    <t>COMUNICACIONES</t>
  </si>
  <si>
    <t>5.0</t>
  </si>
  <si>
    <t>Caja de Inspección o Registro eléctrico de baja tensión en concreto reforzado). Dimensiones internas: 0,8m x 0,8m x 0,8m</t>
  </si>
  <si>
    <t>4.1</t>
  </si>
  <si>
    <t>4.0</t>
  </si>
  <si>
    <t>Suministro e instalación de poste para sistema de medida</t>
  </si>
  <si>
    <t>3.5</t>
  </si>
  <si>
    <t>UND</t>
  </si>
  <si>
    <t>Base en concreto para transformador pad mounted</t>
  </si>
  <si>
    <t>3.4</t>
  </si>
  <si>
    <t>Caja de Inspección o Registro electrico de media tensión. Dimensiones internas: 1,0m x 1,0m x 1,43 m</t>
  </si>
  <si>
    <t>3.3</t>
  </si>
  <si>
    <t>ML</t>
  </si>
  <si>
    <t>Banco de ducto subterráneo de media tensión de 2xø4" PVC</t>
  </si>
  <si>
    <t>3.2</t>
  </si>
  <si>
    <t>RED DE MEDIA TENSION</t>
  </si>
  <si>
    <t>3.1.</t>
  </si>
  <si>
    <t>Conexiones externas de Servicios públicos</t>
  </si>
  <si>
    <t>3.0</t>
  </si>
  <si>
    <t>GL</t>
  </si>
  <si>
    <t>Retiro de escombros y aseo</t>
  </si>
  <si>
    <t>2.1</t>
  </si>
  <si>
    <t>ASEO GENERAL</t>
  </si>
  <si>
    <t>2.0</t>
  </si>
  <si>
    <t>M3</t>
  </si>
  <si>
    <t>Relleno y compactación con Zahorra. Cota promedio de terreno +2.70; Cota interior de pavimento de Bodegas: +4.65. Este item Incluye los Diseños arquitectónicos y diseños técnicos de las Bodegas: Estructural suelos hidrosanitarios eléctricos.</t>
  </si>
  <si>
    <t>vj</t>
  </si>
  <si>
    <t>Retiro del material de descapote</t>
  </si>
  <si>
    <t>1.40</t>
  </si>
  <si>
    <t>M2</t>
  </si>
  <si>
    <t>Corte y sereado del terreno</t>
  </si>
  <si>
    <t>1.30</t>
  </si>
  <si>
    <t>Mes</t>
  </si>
  <si>
    <t>Topografía</t>
  </si>
  <si>
    <t>1.20</t>
  </si>
  <si>
    <t>Cerramiento Provisional. Instalaciones eléctricas provisionales conexiones de agua y preliminares de obra</t>
  </si>
  <si>
    <t>1.10</t>
  </si>
  <si>
    <t>VALOR T.</t>
  </si>
  <si>
    <t>VALOR U.</t>
  </si>
  <si>
    <t>Valor In-House</t>
  </si>
  <si>
    <t>CANT.</t>
  </si>
  <si>
    <t>UN</t>
  </si>
  <si>
    <t>DESCRIPCIÓN</t>
  </si>
  <si>
    <t>PRESUPUESTO</t>
  </si>
  <si>
    <t>Suministro e instalacion de Tubería en PVC perfilada d=200 mm (8") para Conexión de manholes a PTAR</t>
  </si>
  <si>
    <t>PRELIMINARES Y MOVIMIENTO DE TIERRAS</t>
  </si>
  <si>
    <t>ACOMETIDA Y SUBACOMETIDAS DE BAJA TENSION DE CT-3</t>
  </si>
  <si>
    <t>CONSTRUCCIÓN DE 5 BODEGAS EN LA FILA 1 (5769m2)</t>
  </si>
  <si>
    <t>PRELIMINARES</t>
  </si>
  <si>
    <t>MOVIMIENTO DE TIERRAS</t>
  </si>
  <si>
    <t>CIMENTACION Y ESTRUCTURA CONCRETO</t>
  </si>
  <si>
    <t>MAMPOSTERIA ESTRUCTURAL Y ACABADOS</t>
  </si>
  <si>
    <t>ESTRUCTURA METALICA Y TEJA DE CUBIERTAS Y FACHADAS</t>
  </si>
  <si>
    <t>INSTALACIONES HIDROSANITARIAS Y APARATOS</t>
  </si>
  <si>
    <t>PUERTAS Y VENTANAS</t>
  </si>
  <si>
    <t>INSTALACIONES ELECTRICAS</t>
  </si>
  <si>
    <t>ASEO GRAL</t>
  </si>
  <si>
    <t>CONSTRUCCION DE MUELLES</t>
  </si>
  <si>
    <t>CONSTRUCCIÓN DE 4 BODEGAS EN LA FILA 2 (2910,6m2)</t>
  </si>
  <si>
    <r>
      <rPr>
        <sz val="11"/>
        <rFont val="Calibri"/>
        <family val="2"/>
      </rPr>
      <t>CIMENTACION Y ESTRUCTURA CONCRETO (incluye Muro
contención)</t>
    </r>
  </si>
  <si>
    <t>CONEXIONE EXTERNAS</t>
  </si>
  <si>
    <t>Conexiones externas de Servicios públicos Y PTAR</t>
  </si>
  <si>
    <t>Pavimento externo e=15cm</t>
  </si>
  <si>
    <t>TOTAL PROYECTO. ALTURA LIBRE 12M</t>
  </si>
  <si>
    <t>Área de Bodegas: Vr/m2.</t>
  </si>
  <si>
    <r>
      <rPr>
        <b/>
        <u/>
        <sz val="11"/>
        <rFont val="Calibri"/>
        <family val="2"/>
      </rPr>
      <t>A  CONTINUACIÓN  SE  PRESENTA  EL  RESUMEN  DE  LOS  COSTOS  POR
CAPÍTULOS:</t>
    </r>
  </si>
  <si>
    <t>Secretaria</t>
  </si>
  <si>
    <t>DEDICACIÓN</t>
  </si>
  <si>
    <t>IVA 19%</t>
  </si>
  <si>
    <t>Ingeniero civil  Especialista en estructuras</t>
  </si>
  <si>
    <t>Arquitecto director y diseñador</t>
  </si>
  <si>
    <t>Dibujante arquitectura e ingenieria</t>
  </si>
  <si>
    <t>Estudio de suelos acuerdo NSR-10</t>
  </si>
  <si>
    <t>Materiales y Fungibles (Planos, informes, papelería, equipo de topografía)</t>
  </si>
  <si>
    <t>1.1</t>
  </si>
  <si>
    <t>1.2</t>
  </si>
  <si>
    <t>1.3</t>
  </si>
  <si>
    <t>HONORARIOS PROFESIONALES</t>
  </si>
  <si>
    <t>ESTUDIO DE SUELOS</t>
  </si>
  <si>
    <t>GASTOS TABAJOS DE CAMPO</t>
  </si>
  <si>
    <t>TOTAL HONORARIOS PROFESIONALES</t>
  </si>
  <si>
    <t xml:space="preserve">SUBTOTAL </t>
  </si>
  <si>
    <t xml:space="preserve">TOTAL GASTOS DE TRABAJO DE CAMPO </t>
  </si>
  <si>
    <t>Transporte, viaticos arquitecto y dibujante</t>
  </si>
  <si>
    <t>3.1</t>
  </si>
  <si>
    <t>TOTAL ESTUDIO DE SUELOS</t>
  </si>
  <si>
    <t>INSUMOS CAMPO Y OFICINA</t>
  </si>
  <si>
    <t xml:space="preserve">TOTAL INSUMOS TRABAJO DE CAMPO </t>
  </si>
  <si>
    <t>SUBTOTAL PRESUPUESTO</t>
  </si>
  <si>
    <t>1.4</t>
  </si>
  <si>
    <t>1.5</t>
  </si>
  <si>
    <t xml:space="preserve">Ingeniero hidráulico </t>
  </si>
  <si>
    <t>Ingeniero eléctrico</t>
  </si>
  <si>
    <t>1.6</t>
  </si>
  <si>
    <t>Estudios y Diseños para la Construcción de la Plataforma de Acceso al Tobogán  de la Sede las Mercedes del Club Militar</t>
  </si>
  <si>
    <t>INTER OBRAS GR SAS</t>
  </si>
  <si>
    <t>TRIGAR DE LA CONSTRUCCION SAS</t>
  </si>
  <si>
    <t>MIN</t>
  </si>
  <si>
    <t>MAX</t>
  </si>
  <si>
    <t>DESV EST</t>
  </si>
  <si>
    <t>PROMEDIO</t>
  </si>
  <si>
    <t>MEDIA GEOMETRICA</t>
  </si>
  <si>
    <t>MEDIANA</t>
  </si>
  <si>
    <t>PRECIO REFERENCIA UNITARIO CON IVA</t>
  </si>
  <si>
    <t>PRECIO TOTAL ESTIMADO (INCLUIDO IVA Y DEMÁS GRAVÁMENES SI APLICA)</t>
  </si>
  <si>
    <t>CRITERIO ESTADISTICO</t>
  </si>
  <si>
    <t>VAR % MAX -MIN</t>
  </si>
  <si>
    <t>ACOMEQ INGENIERIA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</si>
</sst>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_);_(&quot;$&quot;\ * \(#,##0\);_(&quot;$&quot;\ * &quot;-&quot;??_);_(@_)"/>
    <numFmt numFmtId="166" formatCode="_-&quot;$&quot;* #,##0_-;\-&quot;$&quot;* #,##0_-;_-&quot;$&quot;* &quot;-&quot;_-;_-@"/>
    <numFmt numFmtId="167" formatCode="_(* #,##0_);_(* \(#,##0\);_(* &quot;-&quot;??_);_(@_)"/>
    <numFmt numFmtId="168" formatCode="0.0"/>
    <numFmt numFmtId="169" formatCode="_-* #,##0.00_-;\-* #,##0.00_-;_-* &quot;-&quot;_-;_-@_-"/>
  </numFmts>
  <fonts count="3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u/>
      <sz val="11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4"/>
      <color rgb="FF000000"/>
      <name val="Arial"/>
      <family val="2"/>
    </font>
    <font>
      <b/>
      <sz val="8"/>
      <color theme="9" tint="-0.249977111117893"/>
      <name val="Cambria"/>
      <family val="1"/>
      <scheme val="major"/>
    </font>
    <font>
      <b/>
      <sz val="8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8CF8E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2"/>
    <xf numFmtId="164" fontId="1" fillId="0" borderId="2" applyFont="0" applyFill="0" applyBorder="0" applyAlignment="0" applyProtection="0"/>
    <xf numFmtId="9" fontId="1" fillId="0" borderId="2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227">
    <xf numFmtId="0" fontId="0" fillId="0" borderId="0" xfId="0" applyFont="1" applyAlignment="1"/>
    <xf numFmtId="0" fontId="0" fillId="0" borderId="0" xfId="0" applyFont="1" applyAlignment="1">
      <alignment horizontal="center" vertical="center" wrapText="1"/>
    </xf>
    <xf numFmtId="0" fontId="1" fillId="0" borderId="2" xfId="3" applyAlignment="1">
      <alignment horizontal="center" vertical="center"/>
    </xf>
    <xf numFmtId="167" fontId="0" fillId="0" borderId="2" xfId="4" applyNumberFormat="1" applyFont="1" applyAlignment="1">
      <alignment horizontal="center" vertical="center"/>
    </xf>
    <xf numFmtId="10" fontId="0" fillId="0" borderId="2" xfId="5" applyNumberFormat="1" applyFont="1" applyAlignment="1">
      <alignment horizontal="center" vertical="center"/>
    </xf>
    <xf numFmtId="0" fontId="1" fillId="0" borderId="10" xfId="3" applyBorder="1" applyAlignment="1">
      <alignment horizontal="center" vertical="center"/>
    </xf>
    <xf numFmtId="0" fontId="1" fillId="0" borderId="2" xfId="3" applyBorder="1" applyAlignment="1">
      <alignment horizontal="center" vertical="center"/>
    </xf>
    <xf numFmtId="167" fontId="0" fillId="0" borderId="11" xfId="4" applyNumberFormat="1" applyFont="1" applyBorder="1" applyAlignment="1">
      <alignment horizontal="center" vertical="center"/>
    </xf>
    <xf numFmtId="0" fontId="3" fillId="0" borderId="2" xfId="3" applyFont="1" applyBorder="1" applyAlignment="1">
      <alignment vertical="center"/>
    </xf>
    <xf numFmtId="0" fontId="5" fillId="0" borderId="2" xfId="3" applyFont="1" applyBorder="1" applyAlignment="1">
      <alignment vertical="center"/>
    </xf>
    <xf numFmtId="0" fontId="1" fillId="0" borderId="2" xfId="3" applyBorder="1" applyAlignment="1">
      <alignment vertical="center"/>
    </xf>
    <xf numFmtId="0" fontId="1" fillId="0" borderId="2" xfId="3" applyBorder="1" applyAlignment="1">
      <alignment horizontal="left" vertical="center"/>
    </xf>
    <xf numFmtId="167" fontId="0" fillId="0" borderId="2" xfId="4" applyNumberFormat="1" applyFont="1" applyBorder="1" applyAlignment="1">
      <alignment horizontal="right" vertical="center"/>
    </xf>
    <xf numFmtId="0" fontId="3" fillId="0" borderId="7" xfId="3" applyFont="1" applyBorder="1" applyAlignment="1">
      <alignment vertical="center"/>
    </xf>
    <xf numFmtId="0" fontId="3" fillId="0" borderId="8" xfId="3" applyFont="1" applyBorder="1" applyAlignment="1">
      <alignment vertical="center"/>
    </xf>
    <xf numFmtId="0" fontId="5" fillId="0" borderId="8" xfId="3" applyFont="1" applyBorder="1" applyAlignment="1">
      <alignment vertical="center"/>
    </xf>
    <xf numFmtId="167" fontId="5" fillId="0" borderId="9" xfId="4" applyNumberFormat="1" applyFont="1" applyBorder="1" applyAlignment="1">
      <alignment vertical="center"/>
    </xf>
    <xf numFmtId="0" fontId="1" fillId="0" borderId="10" xfId="3" applyBorder="1" applyAlignment="1">
      <alignment vertical="center"/>
    </xf>
    <xf numFmtId="0" fontId="1" fillId="0" borderId="16" xfId="3" applyBorder="1" applyAlignment="1">
      <alignment vertical="center"/>
    </xf>
    <xf numFmtId="0" fontId="1" fillId="0" borderId="17" xfId="3" applyBorder="1" applyAlignment="1">
      <alignment horizontal="justify" vertical="center"/>
    </xf>
    <xf numFmtId="0" fontId="1" fillId="0" borderId="17" xfId="3" applyBorder="1" applyAlignment="1">
      <alignment horizontal="left" vertical="center"/>
    </xf>
    <xf numFmtId="167" fontId="0" fillId="0" borderId="17" xfId="4" applyNumberFormat="1" applyFont="1" applyFill="1" applyBorder="1" applyAlignment="1">
      <alignment horizontal="right" vertical="center"/>
    </xf>
    <xf numFmtId="167" fontId="0" fillId="0" borderId="18" xfId="4" applyNumberFormat="1" applyFont="1" applyFill="1" applyBorder="1" applyAlignment="1">
      <alignment horizontal="center" vertical="center"/>
    </xf>
    <xf numFmtId="0" fontId="3" fillId="0" borderId="1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167" fontId="5" fillId="0" borderId="14" xfId="4" applyNumberFormat="1" applyFont="1" applyBorder="1" applyAlignment="1">
      <alignment vertical="center"/>
    </xf>
    <xf numFmtId="0" fontId="1" fillId="0" borderId="2" xfId="3" applyBorder="1" applyAlignment="1">
      <alignment horizontal="right" vertical="center"/>
    </xf>
    <xf numFmtId="0" fontId="1" fillId="0" borderId="17" xfId="3" applyBorder="1" applyAlignment="1">
      <alignment vertical="center"/>
    </xf>
    <xf numFmtId="0" fontId="1" fillId="0" borderId="17" xfId="3" applyBorder="1" applyAlignment="1">
      <alignment horizontal="center" vertical="center"/>
    </xf>
    <xf numFmtId="0" fontId="1" fillId="0" borderId="17" xfId="3" applyBorder="1" applyAlignment="1">
      <alignment horizontal="right" vertical="center"/>
    </xf>
    <xf numFmtId="167" fontId="0" fillId="0" borderId="18" xfId="4" applyNumberFormat="1" applyFont="1" applyBorder="1" applyAlignment="1">
      <alignment horizontal="right" vertical="center"/>
    </xf>
    <xf numFmtId="0" fontId="7" fillId="0" borderId="2" xfId="3" applyFont="1" applyBorder="1" applyAlignment="1">
      <alignment vertical="center"/>
    </xf>
    <xf numFmtId="0" fontId="8" fillId="0" borderId="2" xfId="3" applyFont="1" applyBorder="1" applyAlignment="1">
      <alignment vertical="center"/>
    </xf>
    <xf numFmtId="0" fontId="1" fillId="0" borderId="7" xfId="3" applyBorder="1" applyAlignment="1">
      <alignment vertical="center"/>
    </xf>
    <xf numFmtId="0" fontId="4" fillId="0" borderId="8" xfId="3" applyFont="1" applyBorder="1" applyAlignment="1">
      <alignment vertical="center"/>
    </xf>
    <xf numFmtId="167" fontId="5" fillId="0" borderId="11" xfId="4" applyNumberFormat="1" applyFont="1" applyBorder="1" applyAlignment="1">
      <alignment vertical="center"/>
    </xf>
    <xf numFmtId="167" fontId="0" fillId="0" borderId="11" xfId="4" applyNumberFormat="1" applyFont="1" applyBorder="1" applyAlignment="1">
      <alignment horizontal="left" vertical="center"/>
    </xf>
    <xf numFmtId="167" fontId="0" fillId="0" borderId="11" xfId="4" applyNumberFormat="1" applyFont="1" applyBorder="1" applyAlignment="1">
      <alignment horizontal="right" vertical="center"/>
    </xf>
    <xf numFmtId="0" fontId="3" fillId="0" borderId="10" xfId="3" applyFont="1" applyBorder="1" applyAlignment="1">
      <alignment vertical="center"/>
    </xf>
    <xf numFmtId="167" fontId="0" fillId="0" borderId="18" xfId="4" applyNumberFormat="1" applyFont="1" applyBorder="1" applyAlignment="1">
      <alignment horizontal="left" vertical="center"/>
    </xf>
    <xf numFmtId="9" fontId="1" fillId="0" borderId="2" xfId="3" applyNumberFormat="1" applyBorder="1" applyAlignment="1">
      <alignment horizontal="left" vertical="center"/>
    </xf>
    <xf numFmtId="0" fontId="5" fillId="0" borderId="7" xfId="3" applyFont="1" applyBorder="1" applyAlignment="1">
      <alignment vertical="center"/>
    </xf>
    <xf numFmtId="167" fontId="3" fillId="0" borderId="9" xfId="4" applyNumberFormat="1" applyFont="1" applyBorder="1" applyAlignment="1">
      <alignment horizontal="right" vertical="center"/>
    </xf>
    <xf numFmtId="0" fontId="5" fillId="0" borderId="10" xfId="3" applyFont="1" applyBorder="1" applyAlignment="1">
      <alignment vertical="center"/>
    </xf>
    <xf numFmtId="167" fontId="0" fillId="0" borderId="11" xfId="4" applyNumberFormat="1" applyFont="1" applyBorder="1" applyAlignment="1">
      <alignment vertical="center"/>
    </xf>
    <xf numFmtId="0" fontId="5" fillId="0" borderId="16" xfId="3" applyFont="1" applyBorder="1" applyAlignment="1">
      <alignment vertical="center"/>
    </xf>
    <xf numFmtId="0" fontId="4" fillId="0" borderId="17" xfId="3" applyFont="1" applyBorder="1" applyAlignment="1">
      <alignment vertical="center"/>
    </xf>
    <xf numFmtId="0" fontId="5" fillId="0" borderId="17" xfId="3" applyFont="1" applyBorder="1" applyAlignment="1">
      <alignment vertical="center"/>
    </xf>
    <xf numFmtId="167" fontId="4" fillId="0" borderId="18" xfId="4" applyNumberFormat="1" applyFont="1" applyBorder="1" applyAlignment="1">
      <alignment vertical="center"/>
    </xf>
    <xf numFmtId="0" fontId="9" fillId="0" borderId="3" xfId="3" applyFont="1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3" fillId="0" borderId="5" xfId="3" applyFont="1" applyBorder="1" applyAlignment="1">
      <alignment vertical="center"/>
    </xf>
    <xf numFmtId="0" fontId="3" fillId="0" borderId="17" xfId="3" applyFont="1" applyBorder="1" applyAlignment="1">
      <alignment horizontal="left" vertical="center"/>
    </xf>
    <xf numFmtId="0" fontId="1" fillId="0" borderId="20" xfId="3" applyBorder="1" applyAlignment="1">
      <alignment horizontal="center" vertical="center"/>
    </xf>
    <xf numFmtId="0" fontId="3" fillId="0" borderId="21" xfId="3" applyFont="1" applyBorder="1" applyAlignment="1">
      <alignment horizontal="left" vertical="center"/>
    </xf>
    <xf numFmtId="0" fontId="5" fillId="3" borderId="10" xfId="3" applyFont="1" applyFill="1" applyBorder="1" applyAlignment="1">
      <alignment vertical="center"/>
    </xf>
    <xf numFmtId="0" fontId="6" fillId="3" borderId="8" xfId="3" applyFont="1" applyFill="1" applyBorder="1" applyAlignment="1">
      <alignment horizontal="right" vertical="center"/>
    </xf>
    <xf numFmtId="0" fontId="5" fillId="3" borderId="8" xfId="3" applyFont="1" applyFill="1" applyBorder="1" applyAlignment="1">
      <alignment vertical="center"/>
    </xf>
    <xf numFmtId="0" fontId="6" fillId="3" borderId="2" xfId="3" applyFont="1" applyFill="1" applyBorder="1" applyAlignment="1">
      <alignment horizontal="right" vertical="center"/>
    </xf>
    <xf numFmtId="0" fontId="5" fillId="3" borderId="2" xfId="3" applyFont="1" applyFill="1" applyBorder="1" applyAlignment="1">
      <alignment vertical="center"/>
    </xf>
    <xf numFmtId="167" fontId="4" fillId="0" borderId="9" xfId="4" applyNumberFormat="1" applyFont="1" applyBorder="1" applyAlignment="1">
      <alignment horizontal="left" vertical="center"/>
    </xf>
    <xf numFmtId="167" fontId="4" fillId="0" borderId="22" xfId="4" applyNumberFormat="1" applyFont="1" applyBorder="1" applyAlignment="1">
      <alignment horizontal="left" vertical="center"/>
    </xf>
    <xf numFmtId="167" fontId="3" fillId="0" borderId="16" xfId="4" applyNumberFormat="1" applyFont="1" applyBorder="1" applyAlignment="1">
      <alignment horizontal="left" vertical="center"/>
    </xf>
    <xf numFmtId="167" fontId="3" fillId="0" borderId="14" xfId="4" applyNumberFormat="1" applyFont="1" applyBorder="1" applyAlignment="1">
      <alignment horizontal="left" vertical="center"/>
    </xf>
    <xf numFmtId="167" fontId="0" fillId="0" borderId="10" xfId="4" applyNumberFormat="1" applyFont="1" applyBorder="1" applyAlignment="1">
      <alignment horizontal="center" vertical="center"/>
    </xf>
    <xf numFmtId="167" fontId="5" fillId="0" borderId="19" xfId="4" applyNumberFormat="1" applyFont="1" applyBorder="1" applyAlignment="1">
      <alignment vertical="center"/>
    </xf>
    <xf numFmtId="167" fontId="0" fillId="0" borderId="10" xfId="4" applyNumberFormat="1" applyFont="1" applyBorder="1" applyAlignment="1">
      <alignment horizontal="right" vertical="center"/>
    </xf>
    <xf numFmtId="167" fontId="0" fillId="0" borderId="10" xfId="4" applyNumberFormat="1" applyFont="1" applyBorder="1" applyAlignment="1">
      <alignment horizontal="left" vertical="center"/>
    </xf>
    <xf numFmtId="167" fontId="0" fillId="0" borderId="16" xfId="4" applyNumberFormat="1" applyFont="1" applyFill="1" applyBorder="1" applyAlignment="1">
      <alignment horizontal="left" vertical="center"/>
    </xf>
    <xf numFmtId="167" fontId="5" fillId="3" borderId="10" xfId="4" applyNumberFormat="1" applyFont="1" applyFill="1" applyBorder="1" applyAlignment="1">
      <alignment vertical="center"/>
    </xf>
    <xf numFmtId="167" fontId="6" fillId="3" borderId="11" xfId="4" applyNumberFormat="1" applyFont="1" applyFill="1" applyBorder="1" applyAlignment="1">
      <alignment horizontal="center" vertical="center"/>
    </xf>
    <xf numFmtId="167" fontId="5" fillId="0" borderId="7" xfId="4" applyNumberFormat="1" applyFont="1" applyBorder="1" applyAlignment="1">
      <alignment vertical="center"/>
    </xf>
    <xf numFmtId="167" fontId="0" fillId="0" borderId="16" xfId="4" applyNumberFormat="1" applyFont="1" applyBorder="1" applyAlignment="1">
      <alignment vertical="center"/>
    </xf>
    <xf numFmtId="167" fontId="5" fillId="0" borderId="10" xfId="4" applyNumberFormat="1" applyFont="1" applyBorder="1" applyAlignment="1">
      <alignment vertical="center"/>
    </xf>
    <xf numFmtId="167" fontId="0" fillId="0" borderId="10" xfId="4" applyNumberFormat="1" applyFont="1" applyBorder="1" applyAlignment="1">
      <alignment vertical="center"/>
    </xf>
    <xf numFmtId="167" fontId="5" fillId="0" borderId="16" xfId="4" applyNumberFormat="1" applyFont="1" applyBorder="1" applyAlignment="1">
      <alignment vertical="center"/>
    </xf>
    <xf numFmtId="167" fontId="11" fillId="5" borderId="4" xfId="2" applyNumberFormat="1" applyFont="1" applyFill="1" applyBorder="1" applyAlignment="1">
      <alignment horizontal="left" vertical="center" shrinkToFit="1"/>
    </xf>
    <xf numFmtId="167" fontId="11" fillId="0" borderId="4" xfId="2" applyNumberFormat="1" applyFont="1" applyBorder="1" applyAlignment="1">
      <alignment horizontal="left" vertical="center" shrinkToFit="1"/>
    </xf>
    <xf numFmtId="167" fontId="11" fillId="0" borderId="24" xfId="2" applyNumberFormat="1" applyFont="1" applyBorder="1" applyAlignment="1">
      <alignment horizontal="left" vertical="center" indent="4" shrinkToFit="1"/>
    </xf>
    <xf numFmtId="167" fontId="11" fillId="0" borderId="4" xfId="2" applyNumberFormat="1" applyFont="1" applyBorder="1" applyAlignment="1">
      <alignment horizontal="left" vertical="center" indent="3" shrinkToFit="1"/>
    </xf>
    <xf numFmtId="167" fontId="11" fillId="0" borderId="4" xfId="2" applyNumberFormat="1" applyFont="1" applyBorder="1" applyAlignment="1">
      <alignment horizontal="left" vertical="center" indent="4" shrinkToFit="1"/>
    </xf>
    <xf numFmtId="167" fontId="11" fillId="0" borderId="4" xfId="2" applyNumberFormat="1" applyFont="1" applyFill="1" applyBorder="1" applyAlignment="1">
      <alignment horizontal="left" vertical="center" shrinkToFit="1"/>
    </xf>
    <xf numFmtId="167" fontId="11" fillId="0" borderId="6" xfId="2" applyNumberFormat="1" applyFont="1" applyBorder="1" applyAlignment="1">
      <alignment horizontal="left" vertical="center" shrinkToFit="1"/>
    </xf>
    <xf numFmtId="1" fontId="10" fillId="0" borderId="31" xfId="0" applyNumberFormat="1" applyFont="1" applyBorder="1" applyAlignment="1">
      <alignment horizontal="center" vertical="center" shrinkToFit="1"/>
    </xf>
    <xf numFmtId="168" fontId="11" fillId="5" borderId="31" xfId="0" applyNumberFormat="1" applyFont="1" applyFill="1" applyBorder="1" applyAlignment="1">
      <alignment horizontal="center" vertical="center" shrinkToFit="1"/>
    </xf>
    <xf numFmtId="168" fontId="11" fillId="0" borderId="31" xfId="0" applyNumberFormat="1" applyFont="1" applyBorder="1" applyAlignment="1">
      <alignment horizontal="center" vertical="center" shrinkToFit="1"/>
    </xf>
    <xf numFmtId="2" fontId="11" fillId="0" borderId="31" xfId="0" applyNumberFormat="1" applyFont="1" applyBorder="1" applyAlignment="1">
      <alignment horizontal="center" vertical="center" shrinkToFit="1"/>
    </xf>
    <xf numFmtId="168" fontId="11" fillId="0" borderId="29" xfId="0" applyNumberFormat="1" applyFont="1" applyBorder="1" applyAlignment="1">
      <alignment horizontal="center" vertical="center" shrinkToFit="1"/>
    </xf>
    <xf numFmtId="167" fontId="11" fillId="5" borderId="12" xfId="2" applyNumberFormat="1" applyFont="1" applyFill="1" applyBorder="1" applyAlignment="1">
      <alignment horizontal="left" vertical="center" shrinkToFit="1"/>
    </xf>
    <xf numFmtId="167" fontId="11" fillId="0" borderId="12" xfId="2" applyNumberFormat="1" applyFont="1" applyBorder="1" applyAlignment="1">
      <alignment horizontal="left" vertical="center" shrinkToFit="1"/>
    </xf>
    <xf numFmtId="167" fontId="11" fillId="0" borderId="12" xfId="2" applyNumberFormat="1" applyFont="1" applyFill="1" applyBorder="1" applyAlignment="1">
      <alignment horizontal="left" vertical="center" shrinkToFit="1"/>
    </xf>
    <xf numFmtId="167" fontId="11" fillId="0" borderId="25" xfId="2" applyNumberFormat="1" applyFont="1" applyBorder="1" applyAlignment="1">
      <alignment horizontal="left" vertical="center" shrinkToFit="1"/>
    </xf>
    <xf numFmtId="0" fontId="11" fillId="0" borderId="2" xfId="0" applyFont="1" applyBorder="1" applyAlignment="1">
      <alignment vertical="top"/>
    </xf>
    <xf numFmtId="167" fontId="11" fillId="0" borderId="2" xfId="2" applyNumberFormat="1" applyFont="1" applyBorder="1" applyAlignment="1">
      <alignment vertical="top"/>
    </xf>
    <xf numFmtId="0" fontId="11" fillId="0" borderId="0" xfId="0" applyFont="1" applyAlignment="1"/>
    <xf numFmtId="0" fontId="12" fillId="0" borderId="26" xfId="0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167" fontId="12" fillId="0" borderId="28" xfId="2" applyNumberFormat="1" applyFont="1" applyBorder="1" applyAlignment="1">
      <alignment vertical="center"/>
    </xf>
    <xf numFmtId="167" fontId="12" fillId="0" borderId="7" xfId="2" applyNumberFormat="1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67" fontId="12" fillId="0" borderId="30" xfId="2" applyNumberFormat="1" applyFont="1" applyBorder="1" applyAlignment="1">
      <alignment vertical="center"/>
    </xf>
    <xf numFmtId="167" fontId="12" fillId="0" borderId="23" xfId="2" applyNumberFormat="1" applyFont="1" applyBorder="1" applyAlignment="1">
      <alignment vertical="center"/>
    </xf>
    <xf numFmtId="167" fontId="12" fillId="0" borderId="24" xfId="2" applyNumberFormat="1" applyFont="1" applyBorder="1" applyAlignment="1">
      <alignment horizontal="center" vertical="top"/>
    </xf>
    <xf numFmtId="167" fontId="12" fillId="0" borderId="23" xfId="2" applyNumberFormat="1" applyFont="1" applyBorder="1" applyAlignment="1">
      <alignment horizontal="center" vertical="top"/>
    </xf>
    <xf numFmtId="0" fontId="13" fillId="5" borderId="1" xfId="0" applyFont="1" applyFill="1" applyBorder="1" applyAlignment="1">
      <alignment horizontal="left" vertical="center"/>
    </xf>
    <xf numFmtId="167" fontId="13" fillId="5" borderId="32" xfId="2" applyNumberFormat="1" applyFont="1" applyFill="1" applyBorder="1" applyAlignment="1">
      <alignment horizontal="left" vertical="center"/>
    </xf>
    <xf numFmtId="167" fontId="13" fillId="5" borderId="12" xfId="2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67" fontId="13" fillId="0" borderId="32" xfId="2" applyNumberFormat="1" applyFont="1" applyBorder="1" applyAlignment="1">
      <alignment horizontal="left" vertical="center"/>
    </xf>
    <xf numFmtId="167" fontId="13" fillId="0" borderId="12" xfId="2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top"/>
    </xf>
    <xf numFmtId="167" fontId="11" fillId="0" borderId="32" xfId="2" applyNumberFormat="1" applyFont="1" applyBorder="1" applyAlignment="1">
      <alignment horizontal="left" vertical="top"/>
    </xf>
    <xf numFmtId="167" fontId="11" fillId="0" borderId="12" xfId="2" applyNumberFormat="1" applyFont="1" applyBorder="1" applyAlignment="1">
      <alignment horizontal="left" vertical="top"/>
    </xf>
    <xf numFmtId="0" fontId="13" fillId="0" borderId="15" xfId="0" applyFont="1" applyBorder="1" applyAlignment="1">
      <alignment horizontal="left" vertical="center" wrapText="1"/>
    </xf>
    <xf numFmtId="167" fontId="13" fillId="0" borderId="30" xfId="2" applyNumberFormat="1" applyFont="1" applyBorder="1" applyAlignment="1">
      <alignment horizontal="left" vertical="center" wrapText="1"/>
    </xf>
    <xf numFmtId="167" fontId="13" fillId="0" borderId="23" xfId="2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7" fontId="13" fillId="0" borderId="32" xfId="2" applyNumberFormat="1" applyFont="1" applyBorder="1" applyAlignment="1">
      <alignment horizontal="left" vertical="center" wrapText="1"/>
    </xf>
    <xf numFmtId="167" fontId="13" fillId="0" borderId="12" xfId="2" applyNumberFormat="1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167" fontId="11" fillId="0" borderId="32" xfId="2" applyNumberFormat="1" applyFont="1" applyBorder="1" applyAlignment="1">
      <alignment horizontal="left" wrapText="1"/>
    </xf>
    <xf numFmtId="167" fontId="11" fillId="0" borderId="12" xfId="2" applyNumberFormat="1" applyFont="1" applyBorder="1" applyAlignment="1">
      <alignment horizontal="left" wrapText="1"/>
    </xf>
    <xf numFmtId="167" fontId="11" fillId="0" borderId="4" xfId="2" applyNumberFormat="1" applyFont="1" applyBorder="1" applyAlignment="1">
      <alignment horizontal="left" wrapText="1"/>
    </xf>
    <xf numFmtId="0" fontId="11" fillId="0" borderId="3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7" fontId="12" fillId="0" borderId="32" xfId="2" applyNumberFormat="1" applyFont="1" applyBorder="1" applyAlignment="1">
      <alignment horizontal="left" vertical="center" wrapText="1"/>
    </xf>
    <xf numFmtId="167" fontId="12" fillId="0" borderId="12" xfId="2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167" fontId="13" fillId="0" borderId="35" xfId="2" applyNumberFormat="1" applyFont="1" applyBorder="1" applyAlignment="1">
      <alignment horizontal="left" vertical="center" wrapText="1"/>
    </xf>
    <xf numFmtId="167" fontId="13" fillId="0" borderId="25" xfId="2" applyNumberFormat="1" applyFont="1" applyBorder="1" applyAlignment="1">
      <alignment horizontal="left" vertical="center" wrapText="1"/>
    </xf>
    <xf numFmtId="167" fontId="11" fillId="0" borderId="0" xfId="2" applyNumberFormat="1" applyFont="1" applyAlignment="1"/>
    <xf numFmtId="167" fontId="12" fillId="0" borderId="9" xfId="2" applyNumberFormat="1" applyFont="1" applyBorder="1" applyAlignment="1">
      <alignment horizontal="center" vertical="top"/>
    </xf>
    <xf numFmtId="167" fontId="12" fillId="0" borderId="7" xfId="2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167" fontId="12" fillId="0" borderId="32" xfId="2" applyNumberFormat="1" applyFont="1" applyBorder="1" applyAlignment="1">
      <alignment horizontal="left" vertical="top"/>
    </xf>
    <xf numFmtId="167" fontId="12" fillId="0" borderId="12" xfId="2" applyNumberFormat="1" applyFont="1" applyBorder="1" applyAlignment="1">
      <alignment horizontal="left" vertical="top"/>
    </xf>
    <xf numFmtId="167" fontId="10" fillId="0" borderId="4" xfId="2" applyNumberFormat="1" applyFont="1" applyBorder="1" applyAlignment="1">
      <alignment horizontal="left" vertical="center" shrinkToFit="1"/>
    </xf>
    <xf numFmtId="167" fontId="10" fillId="0" borderId="12" xfId="2" applyNumberFormat="1" applyFont="1" applyBorder="1" applyAlignment="1">
      <alignment horizontal="left" vertical="center" shrinkToFit="1"/>
    </xf>
    <xf numFmtId="0" fontId="13" fillId="5" borderId="1" xfId="0" applyFont="1" applyFill="1" applyBorder="1" applyAlignment="1">
      <alignment horizontal="left" vertical="center" wrapText="1"/>
    </xf>
    <xf numFmtId="167" fontId="13" fillId="5" borderId="32" xfId="2" applyNumberFormat="1" applyFont="1" applyFill="1" applyBorder="1" applyAlignment="1">
      <alignment horizontal="left" vertical="center" wrapText="1"/>
    </xf>
    <xf numFmtId="167" fontId="13" fillId="5" borderId="12" xfId="2" applyNumberFormat="1" applyFont="1" applyFill="1" applyBorder="1" applyAlignment="1">
      <alignment horizontal="left" vertical="center" wrapText="1"/>
    </xf>
    <xf numFmtId="167" fontId="10" fillId="4" borderId="4" xfId="2" applyNumberFormat="1" applyFont="1" applyFill="1" applyBorder="1" applyAlignment="1">
      <alignment horizontal="left" vertical="center" shrinkToFit="1"/>
    </xf>
    <xf numFmtId="167" fontId="10" fillId="4" borderId="12" xfId="2" applyNumberFormat="1" applyFont="1" applyFill="1" applyBorder="1" applyAlignment="1">
      <alignment horizontal="left" vertical="center" shrinkToFit="1"/>
    </xf>
    <xf numFmtId="44" fontId="11" fillId="0" borderId="0" xfId="1" applyFont="1" applyAlignment="1"/>
    <xf numFmtId="44" fontId="15" fillId="0" borderId="0" xfId="1" applyFont="1" applyAlignment="1"/>
    <xf numFmtId="44" fontId="16" fillId="0" borderId="9" xfId="1" applyFont="1" applyBorder="1" applyAlignment="1">
      <alignment horizontal="center" vertical="top"/>
    </xf>
    <xf numFmtId="44" fontId="16" fillId="0" borderId="24" xfId="1" applyFont="1" applyBorder="1" applyAlignment="1">
      <alignment horizontal="center" vertical="top"/>
    </xf>
    <xf numFmtId="44" fontId="6" fillId="0" borderId="4" xfId="1" applyFont="1" applyBorder="1" applyAlignment="1">
      <alignment horizontal="left" vertical="center" shrinkToFit="1"/>
    </xf>
    <xf numFmtId="44" fontId="15" fillId="5" borderId="4" xfId="1" applyFont="1" applyFill="1" applyBorder="1" applyAlignment="1">
      <alignment horizontal="left" vertical="center" shrinkToFit="1"/>
    </xf>
    <xf numFmtId="44" fontId="15" fillId="0" borderId="4" xfId="1" applyFont="1" applyBorder="1" applyAlignment="1">
      <alignment horizontal="left" vertical="center" shrinkToFit="1"/>
    </xf>
    <xf numFmtId="44" fontId="15" fillId="0" borderId="24" xfId="1" applyFont="1" applyBorder="1" applyAlignment="1">
      <alignment horizontal="left" vertical="center" indent="4" shrinkToFit="1"/>
    </xf>
    <xf numFmtId="44" fontId="15" fillId="0" borderId="4" xfId="1" applyFont="1" applyBorder="1" applyAlignment="1">
      <alignment horizontal="left" vertical="center" indent="3" shrinkToFit="1"/>
    </xf>
    <xf numFmtId="44" fontId="15" fillId="0" borderId="4" xfId="1" applyFont="1" applyBorder="1" applyAlignment="1">
      <alignment horizontal="left" vertical="center" indent="4" shrinkToFit="1"/>
    </xf>
    <xf numFmtId="44" fontId="15" fillId="0" borderId="4" xfId="1" applyFont="1" applyBorder="1" applyAlignment="1">
      <alignment horizontal="left" wrapText="1"/>
    </xf>
    <xf numFmtId="44" fontId="15" fillId="0" borderId="4" xfId="1" applyFont="1" applyFill="1" applyBorder="1" applyAlignment="1">
      <alignment horizontal="left" vertical="center" shrinkToFit="1"/>
    </xf>
    <xf numFmtId="44" fontId="6" fillId="4" borderId="4" xfId="1" applyFont="1" applyFill="1" applyBorder="1" applyAlignment="1">
      <alignment horizontal="left" vertical="center" shrinkToFit="1"/>
    </xf>
    <xf numFmtId="44" fontId="15" fillId="0" borderId="6" xfId="1" applyFont="1" applyBorder="1" applyAlignment="1">
      <alignment horizontal="left" vertical="center" shrinkToFit="1"/>
    </xf>
    <xf numFmtId="0" fontId="13" fillId="0" borderId="0" xfId="0" applyFont="1" applyAlignment="1">
      <alignment horizontal="center" vertical="center" wrapText="1"/>
    </xf>
    <xf numFmtId="165" fontId="0" fillId="0" borderId="0" xfId="0" applyNumberFormat="1" applyFont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16" fontId="23" fillId="0" borderId="36" xfId="0" applyNumberFormat="1" applyFont="1" applyBorder="1" applyAlignment="1">
      <alignment horizontal="center" vertical="center" wrapText="1"/>
    </xf>
    <xf numFmtId="0" fontId="25" fillId="0" borderId="36" xfId="0" applyFont="1" applyBorder="1" applyAlignment="1">
      <alignment horizontal="left" vertical="center" wrapText="1"/>
    </xf>
    <xf numFmtId="0" fontId="25" fillId="0" borderId="36" xfId="0" applyFont="1" applyBorder="1" applyAlignment="1">
      <alignment horizontal="center" vertical="center" wrapText="1"/>
    </xf>
    <xf numFmtId="9" fontId="25" fillId="0" borderId="36" xfId="6" applyFont="1" applyBorder="1" applyAlignment="1">
      <alignment horizontal="center" vertical="center" wrapText="1"/>
    </xf>
    <xf numFmtId="165" fontId="25" fillId="0" borderId="36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9" fontId="25" fillId="2" borderId="36" xfId="6" applyFont="1" applyFill="1" applyBorder="1" applyAlignment="1">
      <alignment horizontal="center" vertical="center" wrapText="1"/>
    </xf>
    <xf numFmtId="0" fontId="23" fillId="6" borderId="36" xfId="0" applyFont="1" applyFill="1" applyBorder="1" applyAlignment="1">
      <alignment horizontal="center" vertical="center" wrapText="1"/>
    </xf>
    <xf numFmtId="0" fontId="21" fillId="6" borderId="36" xfId="0" applyFont="1" applyFill="1" applyBorder="1" applyAlignment="1">
      <alignment horizontal="left" vertical="center" wrapText="1"/>
    </xf>
    <xf numFmtId="0" fontId="25" fillId="6" borderId="36" xfId="0" applyFont="1" applyFill="1" applyBorder="1" applyAlignment="1">
      <alignment vertical="center" wrapText="1"/>
    </xf>
    <xf numFmtId="0" fontId="22" fillId="6" borderId="36" xfId="0" applyFont="1" applyFill="1" applyBorder="1" applyAlignment="1">
      <alignment vertical="center" wrapText="1"/>
    </xf>
    <xf numFmtId="165" fontId="21" fillId="6" borderId="36" xfId="0" applyNumberFormat="1" applyFont="1" applyFill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5" fillId="0" borderId="36" xfId="0" applyFont="1" applyFill="1" applyBorder="1" applyAlignment="1">
      <alignment vertical="center" wrapText="1"/>
    </xf>
    <xf numFmtId="0" fontId="22" fillId="0" borderId="36" xfId="0" applyFont="1" applyFill="1" applyBorder="1" applyAlignment="1">
      <alignment vertical="center" wrapText="1"/>
    </xf>
    <xf numFmtId="165" fontId="21" fillId="0" borderId="36" xfId="0" applyNumberFormat="1" applyFont="1" applyBorder="1" applyAlignment="1">
      <alignment horizontal="center" vertical="center" wrapText="1"/>
    </xf>
    <xf numFmtId="0" fontId="21" fillId="0" borderId="36" xfId="0" applyFont="1" applyBorder="1" applyAlignment="1">
      <alignment horizontal="left" vertical="center" wrapText="1"/>
    </xf>
    <xf numFmtId="0" fontId="25" fillId="0" borderId="36" xfId="0" applyFont="1" applyFill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1" fillId="6" borderId="36" xfId="0" applyFont="1" applyFill="1" applyBorder="1" applyAlignment="1">
      <alignment horizontal="center" vertical="center" wrapText="1"/>
    </xf>
    <xf numFmtId="0" fontId="26" fillId="6" borderId="36" xfId="0" applyFont="1" applyFill="1" applyBorder="1" applyAlignment="1">
      <alignment horizontal="center" vertical="center" wrapText="1"/>
    </xf>
    <xf numFmtId="0" fontId="21" fillId="0" borderId="36" xfId="0" applyFont="1" applyBorder="1" applyAlignment="1">
      <alignment vertical="center" wrapText="1"/>
    </xf>
    <xf numFmtId="0" fontId="23" fillId="0" borderId="36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166" fontId="25" fillId="0" borderId="36" xfId="0" applyNumberFormat="1" applyFont="1" applyFill="1" applyBorder="1" applyAlignment="1">
      <alignment horizontal="center" vertical="center" wrapText="1"/>
    </xf>
    <xf numFmtId="166" fontId="25" fillId="0" borderId="36" xfId="0" applyNumberFormat="1" applyFont="1" applyBorder="1" applyAlignment="1">
      <alignment horizontal="center" vertical="center" wrapText="1"/>
    </xf>
    <xf numFmtId="0" fontId="20" fillId="6" borderId="36" xfId="0" applyFont="1" applyFill="1" applyBorder="1" applyAlignment="1">
      <alignment horizontal="center" vertical="center" wrapText="1"/>
    </xf>
    <xf numFmtId="0" fontId="21" fillId="6" borderId="36" xfId="0" applyFont="1" applyFill="1" applyBorder="1" applyAlignment="1">
      <alignment vertical="center" wrapText="1"/>
    </xf>
    <xf numFmtId="166" fontId="21" fillId="6" borderId="36" xfId="0" applyNumberFormat="1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vertical="center" wrapText="1"/>
    </xf>
    <xf numFmtId="166" fontId="21" fillId="0" borderId="36" xfId="0" applyNumberFormat="1" applyFont="1" applyBorder="1" applyAlignment="1">
      <alignment horizontal="center" vertical="center" wrapText="1"/>
    </xf>
    <xf numFmtId="165" fontId="19" fillId="2" borderId="36" xfId="0" applyNumberFormat="1" applyFont="1" applyFill="1" applyBorder="1" applyAlignment="1">
      <alignment vertical="center" wrapText="1"/>
    </xf>
    <xf numFmtId="0" fontId="23" fillId="0" borderId="36" xfId="0" applyFont="1" applyFill="1" applyBorder="1" applyAlignment="1">
      <alignment vertical="center" wrapText="1"/>
    </xf>
    <xf numFmtId="0" fontId="19" fillId="0" borderId="36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165" fontId="0" fillId="0" borderId="36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169" fontId="0" fillId="0" borderId="36" xfId="7" applyNumberFormat="1" applyFont="1" applyBorder="1" applyAlignment="1">
      <alignment horizontal="center" vertical="center" wrapText="1"/>
    </xf>
    <xf numFmtId="169" fontId="0" fillId="0" borderId="36" xfId="0" applyNumberFormat="1" applyFont="1" applyBorder="1" applyAlignment="1">
      <alignment horizontal="center" vertical="center" wrapText="1"/>
    </xf>
    <xf numFmtId="169" fontId="10" fillId="0" borderId="36" xfId="7" applyNumberFormat="1" applyFont="1" applyBorder="1" applyAlignment="1">
      <alignment horizontal="center" vertical="center" wrapText="1"/>
    </xf>
    <xf numFmtId="169" fontId="0" fillId="0" borderId="36" xfId="6" applyNumberFormat="1" applyFont="1" applyBorder="1" applyAlignment="1">
      <alignment horizontal="center" vertical="center" wrapText="1"/>
    </xf>
    <xf numFmtId="0" fontId="28" fillId="7" borderId="36" xfId="0" applyNumberFormat="1" applyFont="1" applyFill="1" applyBorder="1" applyAlignment="1" applyProtection="1">
      <alignment horizontal="center" vertical="center" wrapText="1"/>
    </xf>
    <xf numFmtId="9" fontId="29" fillId="7" borderId="36" xfId="0" applyNumberFormat="1" applyFont="1" applyFill="1" applyBorder="1" applyAlignment="1" applyProtection="1">
      <alignment horizontal="center" vertical="center" wrapText="1"/>
    </xf>
    <xf numFmtId="165" fontId="11" fillId="0" borderId="36" xfId="0" applyNumberFormat="1" applyFont="1" applyBorder="1" applyAlignment="1">
      <alignment horizontal="center" vertical="center" wrapText="1"/>
    </xf>
    <xf numFmtId="9" fontId="29" fillId="7" borderId="36" xfId="6" applyFont="1" applyFill="1" applyBorder="1" applyAlignment="1" applyProtection="1">
      <alignment horizontal="center" vertical="center" wrapText="1"/>
    </xf>
    <xf numFmtId="9" fontId="29" fillId="7" borderId="36" xfId="6" applyNumberFormat="1" applyFont="1" applyFill="1" applyBorder="1" applyAlignment="1" applyProtection="1">
      <alignment horizontal="center" vertical="center" wrapText="1"/>
    </xf>
    <xf numFmtId="165" fontId="10" fillId="0" borderId="36" xfId="0" applyNumberFormat="1" applyFont="1" applyBorder="1" applyAlignment="1">
      <alignment horizontal="center" vertical="center" wrapText="1"/>
    </xf>
    <xf numFmtId="169" fontId="10" fillId="0" borderId="36" xfId="0" applyNumberFormat="1" applyFont="1" applyBorder="1" applyAlignment="1">
      <alignment horizontal="center" vertical="center" wrapText="1"/>
    </xf>
    <xf numFmtId="165" fontId="26" fillId="6" borderId="36" xfId="0" applyNumberFormat="1" applyFont="1" applyFill="1" applyBorder="1" applyAlignment="1">
      <alignment vertical="center" wrapText="1"/>
    </xf>
    <xf numFmtId="166" fontId="26" fillId="6" borderId="36" xfId="0" applyNumberFormat="1" applyFont="1" applyFill="1" applyBorder="1" applyAlignment="1">
      <alignment vertical="center" wrapText="1"/>
    </xf>
    <xf numFmtId="0" fontId="20" fillId="0" borderId="3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1" fillId="0" borderId="36" xfId="0" applyFont="1" applyBorder="1" applyAlignment="1">
      <alignment horizontal="left" vertical="center" wrapText="1"/>
    </xf>
    <xf numFmtId="0" fontId="22" fillId="0" borderId="36" xfId="0" applyFont="1" applyBorder="1" applyAlignment="1">
      <alignment horizontal="left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</cellXfs>
  <cellStyles count="8">
    <cellStyle name="Millares" xfId="2" builtinId="3"/>
    <cellStyle name="Millares [0]" xfId="7" builtinId="6"/>
    <cellStyle name="Millares 2" xfId="4" xr:uid="{6E8185F4-1A32-4D66-8534-77C619FFE7A0}"/>
    <cellStyle name="Moneda" xfId="1" builtinId="4"/>
    <cellStyle name="Normal" xfId="0" builtinId="0"/>
    <cellStyle name="Normal 2" xfId="3" xr:uid="{0581514A-D74C-4D3E-8EA8-02B959C900BC}"/>
    <cellStyle name="Porcentaje" xfId="6" builtinId="5"/>
    <cellStyle name="Porcentaje 2" xfId="5" xr:uid="{CE449D07-7ACE-4563-B4F3-89E9DB436BE9}"/>
  </cellStyles>
  <dxfs count="0"/>
  <tableStyles count="1" defaultTableStyle="TableStyleMedium2" defaultPivotStyle="PivotStyleLight16">
    <tableStyle name="Invisible" pivot="0" table="0" count="0" xr9:uid="{619D57A3-299F-44DB-ADF2-29C929BC45C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C7AEC-10E0-49C3-A759-E165FC3B70C5}">
  <dimension ref="A2:V27"/>
  <sheetViews>
    <sheetView tabSelected="1" zoomScale="80" zoomScaleNormal="80" workbookViewId="0">
      <selection activeCell="A2" sqref="A2:E2"/>
    </sheetView>
  </sheetViews>
  <sheetFormatPr baseColWidth="10" defaultColWidth="14.42578125" defaultRowHeight="15" x14ac:dyDescent="0.25"/>
  <cols>
    <col min="1" max="1" width="5.5703125" style="1" bestFit="1" customWidth="1"/>
    <col min="2" max="2" width="52.140625" style="1" customWidth="1"/>
    <col min="3" max="3" width="12.140625" style="1" customWidth="1"/>
    <col min="4" max="4" width="10.7109375" style="1" customWidth="1"/>
    <col min="5" max="5" width="16.28515625" style="1" customWidth="1"/>
    <col min="6" max="6" width="17.42578125" style="1" hidden="1" customWidth="1"/>
    <col min="7" max="7" width="18.28515625" style="1" hidden="1" customWidth="1"/>
    <col min="8" max="8" width="17.140625" style="1" hidden="1" customWidth="1"/>
    <col min="9" max="9" width="23.28515625" style="1" hidden="1" customWidth="1"/>
    <col min="10" max="10" width="16" style="1" hidden="1" customWidth="1"/>
    <col min="11" max="11" width="21" style="1" hidden="1" customWidth="1"/>
    <col min="12" max="12" width="19.140625" style="1" hidden="1" customWidth="1"/>
    <col min="13" max="13" width="17.85546875" style="1" hidden="1" customWidth="1"/>
    <col min="14" max="14" width="17.7109375" style="1" hidden="1" customWidth="1"/>
    <col min="15" max="15" width="18.5703125" style="1" hidden="1" customWidth="1"/>
    <col min="16" max="16" width="17.140625" style="1" hidden="1" customWidth="1"/>
    <col min="17" max="18" width="0" style="1" hidden="1" customWidth="1"/>
    <col min="19" max="19" width="14.42578125" style="1"/>
    <col min="20" max="20" width="21.7109375" style="1" customWidth="1"/>
    <col min="21" max="21" width="18.140625" style="1" customWidth="1"/>
    <col min="22" max="16384" width="14.42578125" style="1"/>
  </cols>
  <sheetData>
    <row r="2" spans="1:22" x14ac:dyDescent="0.25">
      <c r="A2" s="219"/>
      <c r="B2" s="219"/>
      <c r="C2" s="219"/>
      <c r="D2" s="219"/>
      <c r="E2" s="219"/>
    </row>
    <row r="3" spans="1:22" ht="51" customHeight="1" x14ac:dyDescent="0.25">
      <c r="A3" s="225" t="s">
        <v>149</v>
      </c>
      <c r="B3" s="226"/>
      <c r="C3" s="226"/>
      <c r="D3" s="226"/>
      <c r="E3" s="226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4"/>
    </row>
    <row r="4" spans="1:22" ht="79.5" customHeight="1" x14ac:dyDescent="0.25">
      <c r="A4" s="163">
        <v>1</v>
      </c>
      <c r="B4" s="223" t="s">
        <v>132</v>
      </c>
      <c r="C4" s="224"/>
      <c r="D4" s="224"/>
      <c r="E4" s="224"/>
      <c r="F4" s="220" t="s">
        <v>150</v>
      </c>
      <c r="G4" s="220"/>
      <c r="H4" s="220" t="s">
        <v>151</v>
      </c>
      <c r="I4" s="220"/>
      <c r="J4" s="220" t="s">
        <v>162</v>
      </c>
      <c r="K4" s="220"/>
      <c r="L4" s="165" t="s">
        <v>152</v>
      </c>
      <c r="M4" s="165" t="s">
        <v>153</v>
      </c>
      <c r="N4" s="165" t="s">
        <v>161</v>
      </c>
      <c r="O4" s="165" t="s">
        <v>154</v>
      </c>
      <c r="P4" s="165" t="s">
        <v>155</v>
      </c>
      <c r="Q4" s="165" t="s">
        <v>156</v>
      </c>
      <c r="R4" s="165" t="s">
        <v>157</v>
      </c>
      <c r="S4" s="165" t="s">
        <v>158</v>
      </c>
      <c r="T4" s="165" t="s">
        <v>159</v>
      </c>
      <c r="U4" s="165" t="s">
        <v>160</v>
      </c>
      <c r="V4" s="204"/>
    </row>
    <row r="5" spans="1:22" x14ac:dyDescent="0.25">
      <c r="A5" s="164"/>
      <c r="B5" s="165" t="s">
        <v>0</v>
      </c>
      <c r="C5" s="165" t="s">
        <v>1</v>
      </c>
      <c r="D5" s="165" t="s">
        <v>2</v>
      </c>
      <c r="E5" s="165" t="s">
        <v>122</v>
      </c>
      <c r="F5" s="165" t="s">
        <v>3</v>
      </c>
      <c r="G5" s="165" t="s">
        <v>136</v>
      </c>
      <c r="H5" s="165" t="s">
        <v>3</v>
      </c>
      <c r="I5" s="165" t="s">
        <v>136</v>
      </c>
      <c r="J5" s="165" t="s">
        <v>3</v>
      </c>
      <c r="K5" s="165" t="s">
        <v>136</v>
      </c>
      <c r="L5" s="165"/>
      <c r="M5" s="165"/>
      <c r="N5" s="210"/>
      <c r="O5" s="165"/>
      <c r="P5" s="165"/>
      <c r="Q5" s="165"/>
      <c r="R5" s="165"/>
      <c r="S5" s="165"/>
      <c r="T5" s="165"/>
      <c r="U5" s="165"/>
      <c r="V5" s="204"/>
    </row>
    <row r="6" spans="1:22" x14ac:dyDescent="0.25">
      <c r="A6" s="166" t="s">
        <v>129</v>
      </c>
      <c r="B6" s="167" t="s">
        <v>125</v>
      </c>
      <c r="C6" s="168">
        <v>1</v>
      </c>
      <c r="D6" s="168">
        <v>2</v>
      </c>
      <c r="E6" s="169">
        <v>1</v>
      </c>
      <c r="F6" s="170">
        <v>10000000</v>
      </c>
      <c r="G6" s="170">
        <f>+F6*D6</f>
        <v>20000000</v>
      </c>
      <c r="H6" s="170">
        <v>12000000</v>
      </c>
      <c r="I6" s="170">
        <f>+H6*D6</f>
        <v>24000000</v>
      </c>
      <c r="J6" s="170">
        <v>10395000</v>
      </c>
      <c r="K6" s="170">
        <f>+J6*D6*100%</f>
        <v>20790000</v>
      </c>
      <c r="L6" s="203">
        <f>MIN(F6,H6,J6)</f>
        <v>10000000</v>
      </c>
      <c r="M6" s="203">
        <f>+H6</f>
        <v>12000000</v>
      </c>
      <c r="N6" s="211">
        <f>(M6/L6)-1</f>
        <v>0.19999999999999996</v>
      </c>
      <c r="O6" s="206">
        <f t="shared" ref="O6:O11" si="0">STDEVA(F6,H6,J6)</f>
        <v>1059248.9477612583</v>
      </c>
      <c r="P6" s="203">
        <f t="shared" ref="P6:P11" si="1">+AVERAGE(F6,H6,J6)</f>
        <v>10798333.333333334</v>
      </c>
      <c r="Q6" s="206">
        <f t="shared" ref="Q6:Q11" si="2">GEOMEAN(F6,H6,J6)</f>
        <v>10764699.558938378</v>
      </c>
      <c r="R6" s="203">
        <f t="shared" ref="R6:R11" si="3">MEDIAN(F6,H6,J6)</f>
        <v>10395000</v>
      </c>
      <c r="S6" s="207">
        <f>+R6</f>
        <v>10395000</v>
      </c>
      <c r="T6" s="206">
        <f>+S6*D6*100%</f>
        <v>20790000</v>
      </c>
      <c r="U6" s="201" t="s">
        <v>157</v>
      </c>
    </row>
    <row r="7" spans="1:22" ht="30" x14ac:dyDescent="0.25">
      <c r="A7" s="164" t="s">
        <v>130</v>
      </c>
      <c r="B7" s="167" t="s">
        <v>124</v>
      </c>
      <c r="C7" s="168">
        <v>1</v>
      </c>
      <c r="D7" s="168">
        <v>2</v>
      </c>
      <c r="E7" s="169">
        <v>0.5</v>
      </c>
      <c r="F7" s="170">
        <v>10000000</v>
      </c>
      <c r="G7" s="170">
        <f>+F7*2*50%</f>
        <v>10000000</v>
      </c>
      <c r="H7" s="170">
        <v>10000000</v>
      </c>
      <c r="I7" s="170">
        <f>+H7*2*50%</f>
        <v>10000000</v>
      </c>
      <c r="J7" s="170">
        <v>6237000</v>
      </c>
      <c r="K7" s="170">
        <f>+J7*2*50%</f>
        <v>6237000</v>
      </c>
      <c r="L7" s="203">
        <f t="shared" ref="L7:L22" si="4">MIN(F7,H7,J7)</f>
        <v>6237000</v>
      </c>
      <c r="M7" s="203">
        <f>+F7</f>
        <v>10000000</v>
      </c>
      <c r="N7" s="211">
        <f t="shared" ref="N7:N22" si="5">(M7/L7)-1</f>
        <v>0.60333493666827009</v>
      </c>
      <c r="O7" s="206">
        <f t="shared" si="0"/>
        <v>2172569.0629605604</v>
      </c>
      <c r="P7" s="203">
        <f t="shared" si="1"/>
        <v>8745666.666666666</v>
      </c>
      <c r="Q7" s="206">
        <f t="shared" si="2"/>
        <v>8543947.7019901983</v>
      </c>
      <c r="R7" s="203">
        <f t="shared" si="3"/>
        <v>10000000</v>
      </c>
      <c r="S7" s="207">
        <f t="shared" ref="S7:S12" si="6">+Q7</f>
        <v>8543947.7019901983</v>
      </c>
      <c r="T7" s="206">
        <f>+S7*D7*2*50%</f>
        <v>17087895.403980397</v>
      </c>
      <c r="U7" s="201" t="s">
        <v>156</v>
      </c>
    </row>
    <row r="8" spans="1:22" x14ac:dyDescent="0.25">
      <c r="A8" s="164" t="s">
        <v>131</v>
      </c>
      <c r="B8" s="171" t="s">
        <v>147</v>
      </c>
      <c r="C8" s="168">
        <v>1</v>
      </c>
      <c r="D8" s="168">
        <v>2</v>
      </c>
      <c r="E8" s="169">
        <v>0.5</v>
      </c>
      <c r="F8" s="170">
        <v>5000000</v>
      </c>
      <c r="G8" s="170">
        <f>+F8*2*50%</f>
        <v>5000000</v>
      </c>
      <c r="H8" s="170">
        <v>9000000</v>
      </c>
      <c r="I8" s="170">
        <f>+H8*2*50%</f>
        <v>9000000</v>
      </c>
      <c r="J8" s="170">
        <v>4158000</v>
      </c>
      <c r="K8" s="170">
        <f>+J8*2*50%</f>
        <v>4158000</v>
      </c>
      <c r="L8" s="203">
        <f t="shared" si="4"/>
        <v>4158000</v>
      </c>
      <c r="M8" s="203">
        <v>9000000</v>
      </c>
      <c r="N8" s="211">
        <f t="shared" si="5"/>
        <v>1.1645021645021645</v>
      </c>
      <c r="O8" s="206">
        <f t="shared" si="0"/>
        <v>2586952.1320143007</v>
      </c>
      <c r="P8" s="203">
        <f t="shared" si="1"/>
        <v>6052666.666666667</v>
      </c>
      <c r="Q8" s="206">
        <f t="shared" si="2"/>
        <v>5719600.1154910708</v>
      </c>
      <c r="R8" s="203">
        <f t="shared" si="3"/>
        <v>5000000</v>
      </c>
      <c r="S8" s="207">
        <f>+R8</f>
        <v>5000000</v>
      </c>
      <c r="T8" s="206">
        <f>+S8*D8*E8</f>
        <v>5000000</v>
      </c>
      <c r="U8" s="201" t="s">
        <v>157</v>
      </c>
    </row>
    <row r="9" spans="1:22" x14ac:dyDescent="0.25">
      <c r="A9" s="164" t="s">
        <v>144</v>
      </c>
      <c r="B9" s="167" t="s">
        <v>146</v>
      </c>
      <c r="C9" s="168">
        <v>1</v>
      </c>
      <c r="D9" s="168">
        <v>2</v>
      </c>
      <c r="E9" s="169">
        <v>1</v>
      </c>
      <c r="F9" s="170">
        <v>7000000</v>
      </c>
      <c r="G9" s="170">
        <f t="shared" ref="G9:G11" si="7">+F9*D9</f>
        <v>14000000</v>
      </c>
      <c r="H9" s="170">
        <v>8000000</v>
      </c>
      <c r="I9" s="170">
        <f>+H9*D9</f>
        <v>16000000</v>
      </c>
      <c r="J9" s="170">
        <v>9771300</v>
      </c>
      <c r="K9" s="170">
        <f>+J9*2*100%</f>
        <v>19542600</v>
      </c>
      <c r="L9" s="203">
        <f t="shared" si="4"/>
        <v>7000000</v>
      </c>
      <c r="M9" s="203">
        <f>+J9</f>
        <v>9771300</v>
      </c>
      <c r="N9" s="211">
        <f t="shared" si="5"/>
        <v>0.39589999999999992</v>
      </c>
      <c r="O9" s="206">
        <f t="shared" si="0"/>
        <v>1403424.8216416866</v>
      </c>
      <c r="P9" s="203">
        <f t="shared" si="1"/>
        <v>8257100</v>
      </c>
      <c r="Q9" s="206">
        <f t="shared" si="2"/>
        <v>8179249.5371043738</v>
      </c>
      <c r="R9" s="203">
        <f t="shared" si="3"/>
        <v>8000000</v>
      </c>
      <c r="S9" s="207">
        <f>+R9</f>
        <v>8000000</v>
      </c>
      <c r="T9" s="206">
        <f>+S9*D9*E9</f>
        <v>16000000</v>
      </c>
      <c r="U9" s="201" t="s">
        <v>157</v>
      </c>
    </row>
    <row r="10" spans="1:22" ht="30" x14ac:dyDescent="0.25">
      <c r="A10" s="164" t="s">
        <v>145</v>
      </c>
      <c r="B10" s="167" t="s">
        <v>121</v>
      </c>
      <c r="C10" s="168">
        <v>1</v>
      </c>
      <c r="D10" s="168">
        <v>2</v>
      </c>
      <c r="E10" s="172">
        <v>0.5</v>
      </c>
      <c r="F10" s="170">
        <v>3000000</v>
      </c>
      <c r="G10" s="170">
        <f>+F10*2*50%</f>
        <v>3000000</v>
      </c>
      <c r="H10" s="170">
        <v>2000000</v>
      </c>
      <c r="I10" s="170">
        <f>+H10*2*50%</f>
        <v>2000000</v>
      </c>
      <c r="J10" s="170">
        <v>2702700</v>
      </c>
      <c r="K10" s="170">
        <f>+J10*2*50%</f>
        <v>2702700</v>
      </c>
      <c r="L10" s="203">
        <f t="shared" si="4"/>
        <v>2000000</v>
      </c>
      <c r="M10" s="203">
        <v>3000000</v>
      </c>
      <c r="N10" s="211">
        <f t="shared" si="5"/>
        <v>0.5</v>
      </c>
      <c r="O10" s="206">
        <f t="shared" si="0"/>
        <v>513513.15789698513</v>
      </c>
      <c r="P10" s="203">
        <f t="shared" si="1"/>
        <v>2567566.6666666665</v>
      </c>
      <c r="Q10" s="206">
        <f t="shared" si="2"/>
        <v>2531141.147582415</v>
      </c>
      <c r="R10" s="203">
        <f t="shared" si="3"/>
        <v>2702700</v>
      </c>
      <c r="S10" s="207">
        <f t="shared" si="6"/>
        <v>2531141.147582415</v>
      </c>
      <c r="T10" s="206">
        <f>+S10*D10*E10</f>
        <v>2531141.147582415</v>
      </c>
      <c r="U10" s="201" t="s">
        <v>156</v>
      </c>
    </row>
    <row r="11" spans="1:22" ht="30" x14ac:dyDescent="0.25">
      <c r="A11" s="166" t="s">
        <v>148</v>
      </c>
      <c r="B11" s="167" t="s">
        <v>126</v>
      </c>
      <c r="C11" s="168">
        <v>1</v>
      </c>
      <c r="D11" s="168">
        <v>2</v>
      </c>
      <c r="E11" s="172">
        <v>1</v>
      </c>
      <c r="F11" s="170">
        <v>4000000</v>
      </c>
      <c r="G11" s="170">
        <f t="shared" si="7"/>
        <v>8000000</v>
      </c>
      <c r="H11" s="170">
        <v>5000000</v>
      </c>
      <c r="I11" s="170">
        <f t="shared" ref="I11" si="8">+H11*D11</f>
        <v>10000000</v>
      </c>
      <c r="J11" s="170">
        <v>4365900</v>
      </c>
      <c r="K11" s="170">
        <f t="shared" ref="K11" si="9">+J11*D11*100%</f>
        <v>8731800</v>
      </c>
      <c r="L11" s="203">
        <f t="shared" si="4"/>
        <v>4000000</v>
      </c>
      <c r="M11" s="203">
        <f>+H11</f>
        <v>5000000</v>
      </c>
      <c r="N11" s="211">
        <f t="shared" si="5"/>
        <v>0.25</v>
      </c>
      <c r="O11" s="206">
        <f t="shared" si="0"/>
        <v>505958.76314181968</v>
      </c>
      <c r="P11" s="203">
        <f t="shared" si="1"/>
        <v>4455300</v>
      </c>
      <c r="Q11" s="206">
        <f t="shared" si="2"/>
        <v>4436439.8049108395</v>
      </c>
      <c r="R11" s="203">
        <f t="shared" si="3"/>
        <v>4365900</v>
      </c>
      <c r="S11" s="207">
        <f t="shared" si="6"/>
        <v>4436439.8049108395</v>
      </c>
      <c r="T11" s="206">
        <f>+S11*D11*E11</f>
        <v>8872879.6098216791</v>
      </c>
      <c r="U11" s="201" t="s">
        <v>156</v>
      </c>
    </row>
    <row r="12" spans="1:22" ht="15.75" x14ac:dyDescent="0.25">
      <c r="A12" s="173"/>
      <c r="B12" s="174" t="s">
        <v>135</v>
      </c>
      <c r="C12" s="175"/>
      <c r="D12" s="176"/>
      <c r="E12" s="176"/>
      <c r="F12" s="217">
        <f>SUM(F6:F11)</f>
        <v>39000000</v>
      </c>
      <c r="G12" s="217">
        <f t="shared" ref="G12:J12" si="10">SUM(G6:G11)</f>
        <v>60000000</v>
      </c>
      <c r="H12" s="217">
        <f t="shared" si="10"/>
        <v>46000000</v>
      </c>
      <c r="I12" s="217">
        <f t="shared" si="10"/>
        <v>71000000</v>
      </c>
      <c r="J12" s="217">
        <f t="shared" si="10"/>
        <v>37629900</v>
      </c>
      <c r="K12" s="181">
        <f>SUM(K6:K11)</f>
        <v>62162100</v>
      </c>
      <c r="L12" s="203">
        <f>SUM(L6:L11)</f>
        <v>33395000</v>
      </c>
      <c r="M12" s="203">
        <f>SUM(M6:M11)</f>
        <v>48771300</v>
      </c>
      <c r="N12" s="211"/>
      <c r="O12" s="206"/>
      <c r="P12" s="215">
        <f>SUM(P6:P11)</f>
        <v>40876633.333333336</v>
      </c>
      <c r="Q12" s="208">
        <f>SUM(Q6:Q11)</f>
        <v>40175077.866017275</v>
      </c>
      <c r="R12" s="215">
        <f>SUM(R6:R11)</f>
        <v>40463600</v>
      </c>
      <c r="S12" s="208">
        <f t="shared" si="6"/>
        <v>40175077.866017275</v>
      </c>
      <c r="T12" s="208">
        <f>SUM(T6:T11)</f>
        <v>70281916.161384493</v>
      </c>
      <c r="U12" s="201"/>
    </row>
    <row r="13" spans="1:22" ht="15.75" x14ac:dyDescent="0.25">
      <c r="A13" s="163">
        <v>2</v>
      </c>
      <c r="B13" s="182" t="s">
        <v>133</v>
      </c>
      <c r="C13" s="179"/>
      <c r="D13" s="180"/>
      <c r="E13" s="180"/>
      <c r="F13" s="180"/>
      <c r="G13" s="181"/>
      <c r="H13" s="180"/>
      <c r="I13" s="181"/>
      <c r="J13" s="180"/>
      <c r="K13" s="181"/>
      <c r="L13" s="203">
        <f t="shared" si="4"/>
        <v>0</v>
      </c>
      <c r="M13" s="203"/>
      <c r="N13" s="211"/>
      <c r="O13" s="206"/>
      <c r="P13" s="203"/>
      <c r="Q13" s="206"/>
      <c r="R13" s="203"/>
      <c r="S13" s="207"/>
      <c r="T13" s="206"/>
      <c r="U13" s="201"/>
    </row>
    <row r="14" spans="1:22" ht="30" x14ac:dyDescent="0.25">
      <c r="A14" s="164" t="s">
        <v>76</v>
      </c>
      <c r="B14" s="167" t="s">
        <v>127</v>
      </c>
      <c r="C14" s="183">
        <v>1</v>
      </c>
      <c r="D14" s="184">
        <v>1</v>
      </c>
      <c r="E14" s="184"/>
      <c r="F14" s="170">
        <v>19000000</v>
      </c>
      <c r="G14" s="170">
        <f>+F14*D14</f>
        <v>19000000</v>
      </c>
      <c r="H14" s="170">
        <v>19000000</v>
      </c>
      <c r="I14" s="170">
        <f>+H14*D14</f>
        <v>19000000</v>
      </c>
      <c r="J14" s="170">
        <v>16183800</v>
      </c>
      <c r="K14" s="170">
        <v>16183800</v>
      </c>
      <c r="L14" s="203">
        <f>+K14</f>
        <v>16183800</v>
      </c>
      <c r="M14" s="203">
        <f>+F14</f>
        <v>19000000</v>
      </c>
      <c r="N14" s="211">
        <f t="shared" si="5"/>
        <v>0.17401351969253209</v>
      </c>
      <c r="O14" s="206">
        <f>STDEVA(F14,H14,J14)</f>
        <v>1625933.8280918242</v>
      </c>
      <c r="P14" s="203">
        <f>+AVERAGE(F14,H14,J14)</f>
        <v>18061266.666666668</v>
      </c>
      <c r="Q14" s="206">
        <f>GEOMEAN(F14,H14,J14)</f>
        <v>18010643.70495639</v>
      </c>
      <c r="R14" s="203">
        <f>MEDIAN(F14,H14,J14)</f>
        <v>19000000</v>
      </c>
      <c r="S14" s="207">
        <f>+Q14</f>
        <v>18010643.70495639</v>
      </c>
      <c r="T14" s="206">
        <f>+S14</f>
        <v>18010643.70495639</v>
      </c>
      <c r="U14" s="201" t="s">
        <v>156</v>
      </c>
    </row>
    <row r="15" spans="1:22" ht="15.75" x14ac:dyDescent="0.25">
      <c r="A15" s="173"/>
      <c r="B15" s="174" t="s">
        <v>140</v>
      </c>
      <c r="C15" s="185"/>
      <c r="D15" s="186"/>
      <c r="E15" s="186"/>
      <c r="F15" s="177">
        <f>SUM(F14)</f>
        <v>19000000</v>
      </c>
      <c r="G15" s="177">
        <f t="shared" ref="G15:J15" si="11">SUM(G14)</f>
        <v>19000000</v>
      </c>
      <c r="H15" s="177">
        <f t="shared" si="11"/>
        <v>19000000</v>
      </c>
      <c r="I15" s="177">
        <f t="shared" si="11"/>
        <v>19000000</v>
      </c>
      <c r="J15" s="177">
        <f t="shared" si="11"/>
        <v>16183800</v>
      </c>
      <c r="K15" s="177"/>
      <c r="L15" s="203"/>
      <c r="M15" s="203"/>
      <c r="N15" s="211"/>
      <c r="O15" s="206"/>
      <c r="P15" s="203"/>
      <c r="Q15" s="206"/>
      <c r="R15" s="203"/>
      <c r="S15" s="200"/>
      <c r="T15" s="206"/>
      <c r="U15" s="201"/>
    </row>
    <row r="16" spans="1:22" x14ac:dyDescent="0.25">
      <c r="A16" s="164"/>
      <c r="B16" s="167"/>
      <c r="C16" s="183"/>
      <c r="D16" s="184"/>
      <c r="E16" s="184"/>
      <c r="F16" s="170"/>
      <c r="G16" s="170"/>
      <c r="H16" s="170"/>
      <c r="I16" s="170"/>
      <c r="J16" s="170"/>
      <c r="K16" s="170"/>
      <c r="L16" s="203">
        <f t="shared" si="4"/>
        <v>0</v>
      </c>
      <c r="M16" s="203">
        <f t="shared" ref="M16:M20" si="12">MAX(F17,H17,J17)</f>
        <v>0</v>
      </c>
      <c r="N16" s="211"/>
      <c r="O16" s="206"/>
      <c r="P16" s="203"/>
      <c r="Q16" s="206"/>
      <c r="R16" s="203"/>
      <c r="S16" s="200"/>
      <c r="T16" s="206"/>
      <c r="U16" s="201"/>
    </row>
    <row r="17" spans="1:21" ht="15" customHeight="1" x14ac:dyDescent="0.25">
      <c r="A17" s="164">
        <v>3</v>
      </c>
      <c r="B17" s="187" t="s">
        <v>134</v>
      </c>
      <c r="C17" s="188"/>
      <c r="D17" s="188"/>
      <c r="E17" s="188"/>
      <c r="F17" s="188"/>
      <c r="G17" s="189"/>
      <c r="H17" s="188"/>
      <c r="I17" s="189"/>
      <c r="J17" s="188"/>
      <c r="K17" s="189"/>
      <c r="L17" s="203">
        <f t="shared" si="4"/>
        <v>0</v>
      </c>
      <c r="M17" s="203"/>
      <c r="N17" s="211"/>
      <c r="O17" s="206"/>
      <c r="P17" s="203"/>
      <c r="Q17" s="206"/>
      <c r="R17" s="203"/>
      <c r="S17" s="200"/>
      <c r="T17" s="206"/>
      <c r="U17" s="201"/>
    </row>
    <row r="18" spans="1:21" ht="30" x14ac:dyDescent="0.25">
      <c r="A18" s="164">
        <v>3.1</v>
      </c>
      <c r="B18" s="167" t="s">
        <v>138</v>
      </c>
      <c r="C18" s="168">
        <v>1</v>
      </c>
      <c r="D18" s="168">
        <v>1</v>
      </c>
      <c r="E18" s="168">
        <v>1</v>
      </c>
      <c r="F18" s="190">
        <v>8000000</v>
      </c>
      <c r="G18" s="191">
        <f>+F18*D18</f>
        <v>8000000</v>
      </c>
      <c r="H18" s="190">
        <v>8000000</v>
      </c>
      <c r="I18" s="191">
        <f>+H18*D18</f>
        <v>8000000</v>
      </c>
      <c r="J18" s="190">
        <v>567000</v>
      </c>
      <c r="K18" s="191">
        <v>567000</v>
      </c>
      <c r="L18" s="203">
        <f t="shared" si="4"/>
        <v>567000</v>
      </c>
      <c r="M18" s="203">
        <v>8000000</v>
      </c>
      <c r="N18" s="211">
        <f t="shared" si="5"/>
        <v>13.109347442680775</v>
      </c>
      <c r="O18" s="206">
        <f>STDEVA(F18,H18,J18)</f>
        <v>4291444.5508864885</v>
      </c>
      <c r="P18" s="203">
        <f>+AVERAGE(F18,H18,J18)</f>
        <v>5522333.333333333</v>
      </c>
      <c r="Q18" s="206">
        <f>GEOMEAN(F18,H18,J18)</f>
        <v>3310709.0116573446</v>
      </c>
      <c r="R18" s="203">
        <f>MEDIAN(F18,H18,J18)</f>
        <v>8000000</v>
      </c>
      <c r="S18" s="207">
        <f>+Q18</f>
        <v>3310709.0116573446</v>
      </c>
      <c r="T18" s="206">
        <f>+S18</f>
        <v>3310709.0116573446</v>
      </c>
      <c r="U18" s="201" t="s">
        <v>156</v>
      </c>
    </row>
    <row r="19" spans="1:21" ht="15.75" x14ac:dyDescent="0.25">
      <c r="A19" s="192"/>
      <c r="B19" s="185" t="s">
        <v>137</v>
      </c>
      <c r="C19" s="193"/>
      <c r="D19" s="176"/>
      <c r="E19" s="176"/>
      <c r="F19" s="218">
        <f>SUM(F18)</f>
        <v>8000000</v>
      </c>
      <c r="G19" s="218">
        <f t="shared" ref="G19:J19" si="13">SUM(G18)</f>
        <v>8000000</v>
      </c>
      <c r="H19" s="218">
        <f t="shared" si="13"/>
        <v>8000000</v>
      </c>
      <c r="I19" s="218">
        <f t="shared" si="13"/>
        <v>8000000</v>
      </c>
      <c r="J19" s="218">
        <f t="shared" si="13"/>
        <v>567000</v>
      </c>
      <c r="K19" s="194"/>
      <c r="L19" s="203">
        <f t="shared" si="4"/>
        <v>567000</v>
      </c>
      <c r="M19" s="203">
        <f t="shared" si="12"/>
        <v>0</v>
      </c>
      <c r="N19" s="211"/>
      <c r="O19" s="206"/>
      <c r="P19" s="203"/>
      <c r="Q19" s="206"/>
      <c r="R19" s="203"/>
      <c r="S19" s="200"/>
      <c r="T19" s="206"/>
      <c r="U19" s="201"/>
    </row>
    <row r="20" spans="1:21" ht="15.75" x14ac:dyDescent="0.25">
      <c r="A20" s="163"/>
      <c r="B20" s="178"/>
      <c r="C20" s="195"/>
      <c r="D20" s="180"/>
      <c r="E20" s="180"/>
      <c r="F20" s="180"/>
      <c r="G20" s="196"/>
      <c r="H20" s="180"/>
      <c r="I20" s="196"/>
      <c r="J20" s="180"/>
      <c r="K20" s="196"/>
      <c r="L20" s="203">
        <f t="shared" si="4"/>
        <v>0</v>
      </c>
      <c r="M20" s="203">
        <f t="shared" si="12"/>
        <v>0</v>
      </c>
      <c r="N20" s="211"/>
      <c r="O20" s="206"/>
      <c r="P20" s="203"/>
      <c r="Q20" s="206"/>
      <c r="R20" s="203"/>
      <c r="S20" s="200"/>
      <c r="T20" s="206"/>
      <c r="U20" s="201"/>
    </row>
    <row r="21" spans="1:21" ht="15" customHeight="1" x14ac:dyDescent="0.25">
      <c r="A21" s="164">
        <v>4</v>
      </c>
      <c r="B21" s="187" t="s">
        <v>141</v>
      </c>
      <c r="C21" s="188"/>
      <c r="D21" s="188"/>
      <c r="E21" s="188"/>
      <c r="F21" s="188"/>
      <c r="G21" s="189"/>
      <c r="H21" s="188"/>
      <c r="I21" s="189"/>
      <c r="J21" s="188"/>
      <c r="K21" s="189"/>
      <c r="L21" s="203">
        <f t="shared" si="4"/>
        <v>0</v>
      </c>
      <c r="M21" s="203"/>
      <c r="N21" s="211"/>
      <c r="O21" s="206"/>
      <c r="P21" s="203"/>
      <c r="Q21" s="206"/>
      <c r="R21" s="203"/>
      <c r="S21" s="200"/>
      <c r="T21" s="206"/>
      <c r="U21" s="201"/>
    </row>
    <row r="22" spans="1:21" ht="30" x14ac:dyDescent="0.25">
      <c r="A22" s="164" t="s">
        <v>139</v>
      </c>
      <c r="B22" s="167" t="s">
        <v>128</v>
      </c>
      <c r="C22" s="168">
        <v>1</v>
      </c>
      <c r="D22" s="168">
        <v>3</v>
      </c>
      <c r="E22" s="168">
        <v>1</v>
      </c>
      <c r="F22" s="170">
        <v>4000000</v>
      </c>
      <c r="G22" s="170">
        <f>+F22*D22</f>
        <v>12000000</v>
      </c>
      <c r="H22" s="170">
        <v>5000000</v>
      </c>
      <c r="I22" s="170">
        <f>+H22*D22</f>
        <v>15000000</v>
      </c>
      <c r="J22" s="170">
        <v>1080000</v>
      </c>
      <c r="K22" s="170">
        <f>+J22*D22</f>
        <v>3240000</v>
      </c>
      <c r="L22" s="203">
        <f t="shared" si="4"/>
        <v>1080000</v>
      </c>
      <c r="M22" s="203">
        <f>+H22</f>
        <v>5000000</v>
      </c>
      <c r="N22" s="211">
        <f t="shared" si="5"/>
        <v>3.6296296296296298</v>
      </c>
      <c r="O22" s="206">
        <f>STDEVA(F22,H22,J22)</f>
        <v>2036860.3290358423</v>
      </c>
      <c r="P22" s="203">
        <f>+AVERAGE(F22,H22,J22)</f>
        <v>3360000</v>
      </c>
      <c r="Q22" s="206">
        <f>GEOMEAN(F22,H22,J22)</f>
        <v>2784953.3001676672</v>
      </c>
      <c r="R22" s="203">
        <f>MEDIAN(F22,H22,J22)</f>
        <v>4000000</v>
      </c>
      <c r="S22" s="207">
        <f>+Q22</f>
        <v>2784953.3001676672</v>
      </c>
      <c r="T22" s="206">
        <f>+S22</f>
        <v>2784953.3001676672</v>
      </c>
      <c r="U22" s="201" t="s">
        <v>156</v>
      </c>
    </row>
    <row r="23" spans="1:21" ht="15.75" x14ac:dyDescent="0.25">
      <c r="A23" s="173"/>
      <c r="B23" s="185" t="s">
        <v>142</v>
      </c>
      <c r="C23" s="175"/>
      <c r="D23" s="176"/>
      <c r="E23" s="176"/>
      <c r="F23" s="218">
        <f>SUM(F22)</f>
        <v>4000000</v>
      </c>
      <c r="G23" s="218">
        <f t="shared" ref="G23:J23" si="14">SUM(G22)</f>
        <v>12000000</v>
      </c>
      <c r="H23" s="218">
        <f t="shared" si="14"/>
        <v>5000000</v>
      </c>
      <c r="I23" s="218">
        <f t="shared" si="14"/>
        <v>15000000</v>
      </c>
      <c r="J23" s="218">
        <f t="shared" si="14"/>
        <v>1080000</v>
      </c>
      <c r="K23" s="181">
        <f>+K14+K18+K22</f>
        <v>19990800</v>
      </c>
      <c r="L23" s="203">
        <f>SUM(L14:L22)</f>
        <v>18397800</v>
      </c>
      <c r="M23" s="212">
        <f>SUM(M14:M22)</f>
        <v>32000000</v>
      </c>
      <c r="N23" s="211">
        <f>+M23/L23</f>
        <v>1.7393383991564209</v>
      </c>
      <c r="O23" s="209">
        <f>SUM(O6:O22)</f>
        <v>16195905.593430767</v>
      </c>
      <c r="P23" s="215">
        <f>SUM(P14:P22)</f>
        <v>26943600</v>
      </c>
      <c r="Q23" s="208">
        <f>SUM(Q14:Q22)</f>
        <v>24106306.016781405</v>
      </c>
      <c r="R23" s="215">
        <f>SUM(R14:R22)</f>
        <v>31000000</v>
      </c>
      <c r="S23" s="216">
        <f>SUM(S14:S22)</f>
        <v>24106306.016781405</v>
      </c>
      <c r="T23" s="208">
        <f>+T14+T18+T22</f>
        <v>24106306.016781405</v>
      </c>
      <c r="U23" s="200"/>
    </row>
    <row r="24" spans="1:21" ht="15.75" customHeight="1" x14ac:dyDescent="0.25">
      <c r="A24" s="164"/>
      <c r="B24" s="168" t="s">
        <v>143</v>
      </c>
      <c r="C24" s="197"/>
      <c r="D24" s="189"/>
      <c r="E24" s="189"/>
      <c r="F24" s="202"/>
      <c r="G24" s="181">
        <f>+G12+G23</f>
        <v>72000000</v>
      </c>
      <c r="H24" s="202"/>
      <c r="I24" s="181">
        <f>+I12+I23</f>
        <v>86000000</v>
      </c>
      <c r="J24" s="202"/>
      <c r="K24" s="181">
        <f>+K12+K23</f>
        <v>82152900</v>
      </c>
      <c r="L24" s="181"/>
      <c r="M24" s="181"/>
      <c r="N24" s="211"/>
      <c r="O24" s="214"/>
      <c r="P24" s="203"/>
      <c r="Q24" s="203"/>
      <c r="R24" s="203"/>
      <c r="S24" s="203"/>
      <c r="T24" s="208">
        <f>+T12+T23</f>
        <v>94388222.178165898</v>
      </c>
      <c r="U24" s="200"/>
    </row>
    <row r="25" spans="1:21" ht="15.75" x14ac:dyDescent="0.25">
      <c r="A25" s="164"/>
      <c r="B25" s="178" t="s">
        <v>123</v>
      </c>
      <c r="C25" s="198"/>
      <c r="D25" s="180"/>
      <c r="E25" s="180"/>
      <c r="F25" s="202"/>
      <c r="G25" s="181">
        <f>+G24*19%</f>
        <v>13680000</v>
      </c>
      <c r="H25" s="202"/>
      <c r="I25" s="181">
        <f>+I24*19%</f>
        <v>16340000</v>
      </c>
      <c r="J25" s="202"/>
      <c r="K25" s="181">
        <f>+K24*19%</f>
        <v>15609051</v>
      </c>
      <c r="L25" s="181"/>
      <c r="M25" s="181"/>
      <c r="N25" s="211"/>
      <c r="O25" s="213"/>
      <c r="P25" s="203"/>
      <c r="Q25" s="203"/>
      <c r="R25" s="203"/>
      <c r="S25" s="203"/>
      <c r="T25" s="208">
        <f>+T24*19%</f>
        <v>17933762.213851519</v>
      </c>
      <c r="U25" s="200"/>
    </row>
    <row r="26" spans="1:21" ht="18" x14ac:dyDescent="0.25">
      <c r="A26" s="164"/>
      <c r="B26" s="199" t="s">
        <v>7</v>
      </c>
      <c r="C26" s="221"/>
      <c r="D26" s="222"/>
      <c r="E26" s="222"/>
      <c r="F26" s="202"/>
      <c r="G26" s="181">
        <f>+G24+G25</f>
        <v>85680000</v>
      </c>
      <c r="H26" s="202"/>
      <c r="I26" s="181">
        <f>+I24+I25</f>
        <v>102340000</v>
      </c>
      <c r="J26" s="202"/>
      <c r="K26" s="181">
        <f>+K24+K25</f>
        <v>97761951</v>
      </c>
      <c r="L26" s="181"/>
      <c r="M26" s="181"/>
      <c r="N26" s="211"/>
      <c r="O26" s="206"/>
      <c r="P26" s="203"/>
      <c r="Q26" s="203"/>
      <c r="R26" s="203"/>
      <c r="S26" s="203"/>
      <c r="T26" s="208">
        <f>+T24+T25</f>
        <v>112321984.39201742</v>
      </c>
      <c r="U26" s="200"/>
    </row>
    <row r="27" spans="1:21" x14ac:dyDescent="0.25">
      <c r="F27" s="161"/>
      <c r="G27" s="161"/>
      <c r="M27" s="162"/>
    </row>
  </sheetData>
  <mergeCells count="7">
    <mergeCell ref="A2:E2"/>
    <mergeCell ref="F4:G4"/>
    <mergeCell ref="H4:I4"/>
    <mergeCell ref="J4:K4"/>
    <mergeCell ref="C26:E26"/>
    <mergeCell ref="B4:E4"/>
    <mergeCell ref="A3:E3"/>
  </mergeCells>
  <pageMargins left="0.70866141732283472" right="0.70866141732283472" top="0.74803149606299213" bottom="0.74803149606299213" header="0" footer="0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8CD0-EC16-4644-B0D6-5E6AA957579F}">
  <dimension ref="A1:K37"/>
  <sheetViews>
    <sheetView zoomScale="85" zoomScaleNormal="85" workbookViewId="0">
      <selection activeCell="F18" sqref="F18:F25"/>
    </sheetView>
  </sheetViews>
  <sheetFormatPr baseColWidth="10" defaultColWidth="10.85546875" defaultRowHeight="15" x14ac:dyDescent="0.25"/>
  <cols>
    <col min="1" max="1" width="10.85546875" style="95"/>
    <col min="2" max="2" width="62.5703125" style="95" customWidth="1"/>
    <col min="3" max="3" width="14.85546875" style="134" customWidth="1"/>
    <col min="4" max="4" width="9.85546875" style="134" customWidth="1"/>
    <col min="5" max="5" width="17" style="134" bestFit="1" customWidth="1"/>
    <col min="6" max="6" width="10.85546875" style="95"/>
    <col min="7" max="7" width="10.85546875" style="148"/>
    <col min="8" max="8" width="18.28515625" style="147" bestFit="1" customWidth="1"/>
    <col min="9" max="9" width="10.85546875" style="95"/>
    <col min="10" max="10" width="13.140625" style="95" bestFit="1" customWidth="1"/>
    <col min="11" max="16384" width="10.85546875" style="95"/>
  </cols>
  <sheetData>
    <row r="1" spans="1:8" ht="15.75" thickBot="1" x14ac:dyDescent="0.3">
      <c r="A1" s="93" t="s">
        <v>120</v>
      </c>
      <c r="B1" s="93"/>
      <c r="C1" s="94"/>
      <c r="D1" s="94"/>
      <c r="E1" s="94"/>
      <c r="F1" s="93"/>
    </row>
    <row r="2" spans="1:8" x14ac:dyDescent="0.25">
      <c r="A2" s="96" t="s">
        <v>0</v>
      </c>
      <c r="B2" s="97" t="s">
        <v>97</v>
      </c>
      <c r="C2" s="98"/>
      <c r="D2" s="99"/>
      <c r="E2" s="135" t="s">
        <v>98</v>
      </c>
      <c r="F2" s="136"/>
      <c r="G2" s="149"/>
    </row>
    <row r="3" spans="1:8" x14ac:dyDescent="0.25">
      <c r="A3" s="100"/>
      <c r="B3" s="101"/>
      <c r="C3" s="102"/>
      <c r="D3" s="103"/>
      <c r="E3" s="104" t="s">
        <v>92</v>
      </c>
      <c r="F3" s="105"/>
      <c r="G3" s="150"/>
    </row>
    <row r="4" spans="1:8" x14ac:dyDescent="0.25">
      <c r="A4" s="84">
        <v>1</v>
      </c>
      <c r="B4" s="137" t="s">
        <v>102</v>
      </c>
      <c r="C4" s="138"/>
      <c r="D4" s="139"/>
      <c r="E4" s="140">
        <v>5620127086</v>
      </c>
      <c r="F4" s="141"/>
      <c r="G4" s="151"/>
    </row>
    <row r="5" spans="1:8" x14ac:dyDescent="0.25">
      <c r="A5" s="85">
        <v>1.1000000000000001</v>
      </c>
      <c r="B5" s="106" t="s">
        <v>103</v>
      </c>
      <c r="C5" s="107"/>
      <c r="D5" s="108"/>
      <c r="E5" s="77">
        <v>120250000</v>
      </c>
      <c r="F5" s="89"/>
      <c r="G5" s="152"/>
    </row>
    <row r="6" spans="1:8" x14ac:dyDescent="0.25">
      <c r="A6" s="85">
        <v>1.2</v>
      </c>
      <c r="B6" s="106" t="s">
        <v>104</v>
      </c>
      <c r="C6" s="107"/>
      <c r="D6" s="108"/>
      <c r="E6" s="77">
        <v>577514600</v>
      </c>
      <c r="F6" s="89"/>
      <c r="G6" s="152"/>
    </row>
    <row r="7" spans="1:8" x14ac:dyDescent="0.25">
      <c r="A7" s="86">
        <v>1.3</v>
      </c>
      <c r="B7" s="109" t="s">
        <v>105</v>
      </c>
      <c r="C7" s="110">
        <f t="shared" ref="C7:C14" si="0">E7/D7</f>
        <v>255143.41410989774</v>
      </c>
      <c r="D7" s="111">
        <v>5769</v>
      </c>
      <c r="E7" s="78">
        <v>1471922356</v>
      </c>
      <c r="F7" s="90">
        <f>C7*0.75</f>
        <v>191357.56058242329</v>
      </c>
      <c r="G7" s="153">
        <f>D7*E7</f>
        <v>8491520071764</v>
      </c>
      <c r="H7" s="147">
        <f>F7*D7</f>
        <v>1103941767</v>
      </c>
    </row>
    <row r="8" spans="1:8" x14ac:dyDescent="0.25">
      <c r="A8" s="86">
        <v>1.4</v>
      </c>
      <c r="B8" s="109" t="s">
        <v>106</v>
      </c>
      <c r="C8" s="110">
        <f t="shared" si="0"/>
        <v>66598.719882128615</v>
      </c>
      <c r="D8" s="111">
        <v>5769</v>
      </c>
      <c r="E8" s="78">
        <v>384208015</v>
      </c>
      <c r="F8" s="90">
        <f t="shared" ref="F8:F14" si="1">C8*0.75</f>
        <v>49949.039911596461</v>
      </c>
      <c r="G8" s="153"/>
      <c r="H8" s="147">
        <f t="shared" ref="H8:H37" si="2">F8*D8</f>
        <v>288156011.25</v>
      </c>
    </row>
    <row r="9" spans="1:8" x14ac:dyDescent="0.25">
      <c r="A9" s="86">
        <v>1.5</v>
      </c>
      <c r="B9" s="109" t="s">
        <v>107</v>
      </c>
      <c r="C9" s="110">
        <f t="shared" si="0"/>
        <v>422704.60131738603</v>
      </c>
      <c r="D9" s="111">
        <v>5769</v>
      </c>
      <c r="E9" s="78">
        <v>2438582845</v>
      </c>
      <c r="F9" s="90">
        <f t="shared" si="1"/>
        <v>317028.45098803949</v>
      </c>
      <c r="G9" s="153"/>
      <c r="H9" s="147">
        <f t="shared" si="2"/>
        <v>1828937133.7499998</v>
      </c>
    </row>
    <row r="10" spans="1:8" x14ac:dyDescent="0.25">
      <c r="A10" s="86">
        <v>1.6</v>
      </c>
      <c r="B10" s="109" t="s">
        <v>108</v>
      </c>
      <c r="C10" s="110">
        <f t="shared" si="0"/>
        <v>12022.013867221356</v>
      </c>
      <c r="D10" s="111">
        <v>5769</v>
      </c>
      <c r="E10" s="78">
        <v>69354998</v>
      </c>
      <c r="F10" s="90">
        <f t="shared" si="1"/>
        <v>9016.5104004160166</v>
      </c>
      <c r="G10" s="153"/>
      <c r="H10" s="147">
        <f t="shared" si="2"/>
        <v>52016248.5</v>
      </c>
    </row>
    <row r="11" spans="1:8" x14ac:dyDescent="0.25">
      <c r="A11" s="86">
        <v>1.7</v>
      </c>
      <c r="B11" s="109" t="s">
        <v>109</v>
      </c>
      <c r="C11" s="110">
        <f t="shared" si="0"/>
        <v>43942.641705668226</v>
      </c>
      <c r="D11" s="111">
        <v>5769</v>
      </c>
      <c r="E11" s="78">
        <v>253505100</v>
      </c>
      <c r="F11" s="90">
        <f t="shared" si="1"/>
        <v>32956.981279251166</v>
      </c>
      <c r="G11" s="153"/>
      <c r="H11" s="147">
        <f t="shared" si="2"/>
        <v>190128824.99999997</v>
      </c>
    </row>
    <row r="12" spans="1:8" x14ac:dyDescent="0.25">
      <c r="A12" s="86">
        <v>1.8</v>
      </c>
      <c r="B12" s="109" t="s">
        <v>110</v>
      </c>
      <c r="C12" s="110">
        <f t="shared" si="0"/>
        <v>34141.083376668401</v>
      </c>
      <c r="D12" s="111">
        <v>5769</v>
      </c>
      <c r="E12" s="78">
        <v>196959910</v>
      </c>
      <c r="F12" s="90">
        <f t="shared" si="1"/>
        <v>25605.812532501302</v>
      </c>
      <c r="G12" s="153"/>
      <c r="H12" s="147">
        <f t="shared" si="2"/>
        <v>147719932.5</v>
      </c>
    </row>
    <row r="13" spans="1:8" x14ac:dyDescent="0.25">
      <c r="A13" s="86">
        <v>1.9</v>
      </c>
      <c r="B13" s="109" t="s">
        <v>111</v>
      </c>
      <c r="C13" s="110">
        <f t="shared" si="0"/>
        <v>693.36106777604437</v>
      </c>
      <c r="D13" s="111">
        <v>5769</v>
      </c>
      <c r="E13" s="78">
        <v>4000000</v>
      </c>
      <c r="F13" s="90">
        <f t="shared" si="1"/>
        <v>520.02080083203327</v>
      </c>
      <c r="G13" s="153"/>
      <c r="H13" s="147">
        <f t="shared" si="2"/>
        <v>3000000</v>
      </c>
    </row>
    <row r="14" spans="1:8" x14ac:dyDescent="0.25">
      <c r="A14" s="87">
        <v>1.1000000000000001</v>
      </c>
      <c r="B14" s="109" t="s">
        <v>112</v>
      </c>
      <c r="C14" s="110">
        <f t="shared" si="0"/>
        <v>17997.791818339399</v>
      </c>
      <c r="D14" s="111">
        <v>5769</v>
      </c>
      <c r="E14" s="78">
        <v>103829261</v>
      </c>
      <c r="F14" s="90">
        <f t="shared" si="1"/>
        <v>13498.34386375455</v>
      </c>
      <c r="G14" s="153"/>
      <c r="H14" s="147">
        <f t="shared" si="2"/>
        <v>77871945.75</v>
      </c>
    </row>
    <row r="15" spans="1:8" x14ac:dyDescent="0.25">
      <c r="A15" s="84">
        <v>2</v>
      </c>
      <c r="B15" s="137" t="s">
        <v>113</v>
      </c>
      <c r="C15" s="138"/>
      <c r="D15" s="139">
        <f>2910*4</f>
        <v>11640</v>
      </c>
      <c r="E15" s="140">
        <v>3249764448</v>
      </c>
      <c r="F15" s="141"/>
      <c r="G15" s="151"/>
      <c r="H15" s="147">
        <f t="shared" si="2"/>
        <v>0</v>
      </c>
    </row>
    <row r="16" spans="1:8" x14ac:dyDescent="0.25">
      <c r="A16" s="85">
        <v>2.1</v>
      </c>
      <c r="B16" s="106" t="s">
        <v>103</v>
      </c>
      <c r="C16" s="107"/>
      <c r="D16" s="108"/>
      <c r="E16" s="77">
        <v>30000000</v>
      </c>
      <c r="F16" s="89"/>
      <c r="G16" s="152"/>
      <c r="H16" s="147">
        <f t="shared" si="2"/>
        <v>0</v>
      </c>
    </row>
    <row r="17" spans="1:11" x14ac:dyDescent="0.25">
      <c r="A17" s="85">
        <v>2.2000000000000002</v>
      </c>
      <c r="B17" s="106" t="s">
        <v>104</v>
      </c>
      <c r="C17" s="107"/>
      <c r="D17" s="108"/>
      <c r="E17" s="77">
        <v>279899010</v>
      </c>
      <c r="F17" s="89"/>
      <c r="G17" s="152"/>
      <c r="H17" s="147">
        <f t="shared" si="2"/>
        <v>0</v>
      </c>
    </row>
    <row r="18" spans="1:11" x14ac:dyDescent="0.25">
      <c r="A18" s="86">
        <v>2.2999999999999998</v>
      </c>
      <c r="B18" s="112" t="s">
        <v>114</v>
      </c>
      <c r="C18" s="113">
        <f t="shared" ref="C18:C25" si="3">E18/D18</f>
        <v>329003.59037800686</v>
      </c>
      <c r="D18" s="114">
        <v>2910</v>
      </c>
      <c r="E18" s="78">
        <v>957400448</v>
      </c>
      <c r="F18" s="90">
        <f>C18*0.75</f>
        <v>246752.69278350513</v>
      </c>
      <c r="G18" s="153"/>
      <c r="H18" s="147">
        <f t="shared" si="2"/>
        <v>718050335.99999988</v>
      </c>
    </row>
    <row r="19" spans="1:11" x14ac:dyDescent="0.25">
      <c r="A19" s="88">
        <v>2.4</v>
      </c>
      <c r="B19" s="115" t="s">
        <v>106</v>
      </c>
      <c r="C19" s="116">
        <f t="shared" si="3"/>
        <v>65900.862886597941</v>
      </c>
      <c r="D19" s="117">
        <v>2910</v>
      </c>
      <c r="E19" s="79">
        <v>191771511</v>
      </c>
      <c r="F19" s="90">
        <f t="shared" ref="F19:F25" si="4">C19*0.75</f>
        <v>49425.647164948459</v>
      </c>
      <c r="G19" s="154"/>
      <c r="H19" s="147">
        <f t="shared" si="2"/>
        <v>143828633.25000003</v>
      </c>
    </row>
    <row r="20" spans="1:11" x14ac:dyDescent="0.25">
      <c r="A20" s="86">
        <v>2.5</v>
      </c>
      <c r="B20" s="118" t="s">
        <v>107</v>
      </c>
      <c r="C20" s="119">
        <f t="shared" si="3"/>
        <v>472831.44776632305</v>
      </c>
      <c r="D20" s="120">
        <v>2910</v>
      </c>
      <c r="E20" s="80">
        <v>1375939513</v>
      </c>
      <c r="F20" s="90">
        <f t="shared" si="4"/>
        <v>354623.58582474227</v>
      </c>
      <c r="G20" s="155"/>
      <c r="H20" s="147">
        <f t="shared" si="2"/>
        <v>1031954634.75</v>
      </c>
      <c r="J20" s="147">
        <f>50*8000</f>
        <v>400000</v>
      </c>
      <c r="K20" s="95">
        <f>30*8000</f>
        <v>240000</v>
      </c>
    </row>
    <row r="21" spans="1:11" x14ac:dyDescent="0.25">
      <c r="A21" s="86">
        <v>2.6</v>
      </c>
      <c r="B21" s="118" t="s">
        <v>108</v>
      </c>
      <c r="C21" s="119">
        <f t="shared" si="3"/>
        <v>15888.888659793814</v>
      </c>
      <c r="D21" s="120">
        <v>2910</v>
      </c>
      <c r="E21" s="81">
        <v>46236666</v>
      </c>
      <c r="F21" s="90">
        <f t="shared" si="4"/>
        <v>11916.666494845362</v>
      </c>
      <c r="G21" s="156"/>
      <c r="H21" s="147">
        <f t="shared" si="2"/>
        <v>34677499.5</v>
      </c>
    </row>
    <row r="22" spans="1:11" x14ac:dyDescent="0.25">
      <c r="A22" s="86">
        <v>2.7</v>
      </c>
      <c r="B22" s="118" t="s">
        <v>109</v>
      </c>
      <c r="C22" s="119">
        <f t="shared" si="3"/>
        <v>58076.769759450173</v>
      </c>
      <c r="D22" s="120">
        <v>2910</v>
      </c>
      <c r="E22" s="81">
        <v>169003400</v>
      </c>
      <c r="F22" s="90">
        <f t="shared" si="4"/>
        <v>43557.577319587632</v>
      </c>
      <c r="G22" s="156"/>
      <c r="H22" s="147">
        <f t="shared" si="2"/>
        <v>126752550.00000001</v>
      </c>
    </row>
    <row r="23" spans="1:11" x14ac:dyDescent="0.25">
      <c r="A23" s="86">
        <v>2.8</v>
      </c>
      <c r="B23" s="118" t="s">
        <v>110</v>
      </c>
      <c r="C23" s="119">
        <f t="shared" si="3"/>
        <v>42141.560137457047</v>
      </c>
      <c r="D23" s="120">
        <v>2910</v>
      </c>
      <c r="E23" s="81">
        <v>122631940</v>
      </c>
      <c r="F23" s="90">
        <f t="shared" si="4"/>
        <v>31606.170103092787</v>
      </c>
      <c r="G23" s="156"/>
      <c r="H23" s="147">
        <f t="shared" si="2"/>
        <v>91973955.000000015</v>
      </c>
    </row>
    <row r="24" spans="1:11" x14ac:dyDescent="0.25">
      <c r="A24" s="86">
        <v>2.9</v>
      </c>
      <c r="B24" s="118" t="s">
        <v>111</v>
      </c>
      <c r="C24" s="119">
        <f t="shared" si="3"/>
        <v>1030.9278350515465</v>
      </c>
      <c r="D24" s="120">
        <v>2910</v>
      </c>
      <c r="E24" s="81">
        <v>3000000</v>
      </c>
      <c r="F24" s="90">
        <f t="shared" si="4"/>
        <v>773.19587628865986</v>
      </c>
      <c r="G24" s="156"/>
      <c r="H24" s="147">
        <f t="shared" si="2"/>
        <v>2250000</v>
      </c>
    </row>
    <row r="25" spans="1:11" x14ac:dyDescent="0.25">
      <c r="A25" s="87">
        <v>2.1</v>
      </c>
      <c r="B25" s="118" t="s">
        <v>112</v>
      </c>
      <c r="C25" s="119">
        <f t="shared" si="3"/>
        <v>25388.990034364262</v>
      </c>
      <c r="D25" s="120">
        <v>2910</v>
      </c>
      <c r="E25" s="81">
        <v>73881961</v>
      </c>
      <c r="F25" s="90">
        <f t="shared" si="4"/>
        <v>19041.742525773196</v>
      </c>
      <c r="G25" s="156"/>
      <c r="H25" s="147">
        <f t="shared" si="2"/>
        <v>55411470.75</v>
      </c>
    </row>
    <row r="26" spans="1:11" x14ac:dyDescent="0.25">
      <c r="A26" s="121"/>
      <c r="B26" s="122"/>
      <c r="C26" s="123"/>
      <c r="D26" s="124"/>
      <c r="E26" s="125"/>
      <c r="F26" s="124"/>
      <c r="G26" s="157"/>
      <c r="H26" s="147">
        <f t="shared" si="2"/>
        <v>0</v>
      </c>
    </row>
    <row r="27" spans="1:11" x14ac:dyDescent="0.25">
      <c r="A27" s="84">
        <v>3</v>
      </c>
      <c r="B27" s="127" t="s">
        <v>115</v>
      </c>
      <c r="C27" s="128"/>
      <c r="D27" s="129"/>
      <c r="E27" s="140">
        <v>843775624</v>
      </c>
      <c r="F27" s="141"/>
      <c r="G27" s="151"/>
      <c r="H27" s="147">
        <f t="shared" si="2"/>
        <v>0</v>
      </c>
    </row>
    <row r="28" spans="1:11" x14ac:dyDescent="0.25">
      <c r="A28" s="85">
        <v>3.1</v>
      </c>
      <c r="B28" s="142" t="s">
        <v>116</v>
      </c>
      <c r="C28" s="143"/>
      <c r="D28" s="144"/>
      <c r="E28" s="77">
        <v>403436636</v>
      </c>
      <c r="F28" s="89"/>
      <c r="G28" s="152"/>
      <c r="H28" s="147">
        <f t="shared" si="2"/>
        <v>0</v>
      </c>
    </row>
    <row r="29" spans="1:11" x14ac:dyDescent="0.25">
      <c r="A29" s="86">
        <v>3.2</v>
      </c>
      <c r="B29" s="118" t="s">
        <v>117</v>
      </c>
      <c r="C29" s="119"/>
      <c r="D29" s="120"/>
      <c r="E29" s="82">
        <v>440338988</v>
      </c>
      <c r="F29" s="91"/>
      <c r="G29" s="158"/>
      <c r="H29" s="147">
        <f t="shared" si="2"/>
        <v>0</v>
      </c>
    </row>
    <row r="30" spans="1:11" x14ac:dyDescent="0.25">
      <c r="A30" s="121"/>
      <c r="B30" s="122"/>
      <c r="C30" s="123"/>
      <c r="D30" s="124"/>
      <c r="E30" s="125"/>
      <c r="F30" s="124"/>
      <c r="G30" s="157"/>
      <c r="H30" s="147">
        <f t="shared" si="2"/>
        <v>0</v>
      </c>
    </row>
    <row r="31" spans="1:11" x14ac:dyDescent="0.25">
      <c r="A31" s="126"/>
      <c r="B31" s="127" t="s">
        <v>10</v>
      </c>
      <c r="C31" s="128"/>
      <c r="D31" s="129"/>
      <c r="E31" s="140">
        <v>9713667157.7299995</v>
      </c>
      <c r="F31" s="141"/>
      <c r="G31" s="151"/>
      <c r="H31" s="147">
        <f t="shared" si="2"/>
        <v>0</v>
      </c>
    </row>
    <row r="32" spans="1:11" x14ac:dyDescent="0.25">
      <c r="A32" s="126"/>
      <c r="B32" s="118" t="s">
        <v>4</v>
      </c>
      <c r="C32" s="119"/>
      <c r="D32" s="120"/>
      <c r="E32" s="78">
        <v>485683358</v>
      </c>
      <c r="F32" s="90"/>
      <c r="G32" s="153"/>
      <c r="H32" s="147">
        <f t="shared" si="2"/>
        <v>0</v>
      </c>
    </row>
    <row r="33" spans="1:8" x14ac:dyDescent="0.25">
      <c r="A33" s="126"/>
      <c r="B33" s="118" t="s">
        <v>6</v>
      </c>
      <c r="C33" s="119"/>
      <c r="D33" s="120"/>
      <c r="E33" s="78">
        <v>388546686</v>
      </c>
      <c r="F33" s="90"/>
      <c r="G33" s="153"/>
      <c r="H33" s="147">
        <f t="shared" si="2"/>
        <v>0</v>
      </c>
    </row>
    <row r="34" spans="1:8" x14ac:dyDescent="0.25">
      <c r="A34" s="126"/>
      <c r="B34" s="118" t="s">
        <v>5</v>
      </c>
      <c r="C34" s="119"/>
      <c r="D34" s="120"/>
      <c r="E34" s="78">
        <v>97136672</v>
      </c>
      <c r="F34" s="90"/>
      <c r="G34" s="153"/>
      <c r="H34" s="147">
        <f t="shared" si="2"/>
        <v>0</v>
      </c>
    </row>
    <row r="35" spans="1:8" x14ac:dyDescent="0.25">
      <c r="A35" s="126"/>
      <c r="B35" s="118" t="s">
        <v>9</v>
      </c>
      <c r="C35" s="119"/>
      <c r="D35" s="120"/>
      <c r="E35" s="78">
        <v>73823870</v>
      </c>
      <c r="F35" s="90"/>
      <c r="G35" s="153"/>
      <c r="H35" s="147">
        <f t="shared" si="2"/>
        <v>0</v>
      </c>
    </row>
    <row r="36" spans="1:8" x14ac:dyDescent="0.25">
      <c r="A36" s="126"/>
      <c r="B36" s="127" t="s">
        <v>118</v>
      </c>
      <c r="C36" s="128"/>
      <c r="D36" s="129"/>
      <c r="E36" s="145">
        <v>10758857744</v>
      </c>
      <c r="F36" s="146"/>
      <c r="G36" s="159"/>
      <c r="H36" s="147">
        <f t="shared" si="2"/>
        <v>0</v>
      </c>
    </row>
    <row r="37" spans="1:8" ht="15.75" thickBot="1" x14ac:dyDescent="0.3">
      <c r="A37" s="130"/>
      <c r="B37" s="131" t="s">
        <v>119</v>
      </c>
      <c r="C37" s="132"/>
      <c r="D37" s="133"/>
      <c r="E37" s="83">
        <v>8679.6</v>
      </c>
      <c r="F37" s="92"/>
      <c r="G37" s="160"/>
      <c r="H37" s="147">
        <f t="shared" si="2"/>
        <v>0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7FB20-620F-45B3-A49B-ADD60E179B38}">
  <dimension ref="C2:K50"/>
  <sheetViews>
    <sheetView topLeftCell="D22" zoomScale="70" zoomScaleNormal="70" workbookViewId="0">
      <selection activeCell="F18" sqref="F18:F25"/>
    </sheetView>
  </sheetViews>
  <sheetFormatPr baseColWidth="10" defaultColWidth="9.140625" defaultRowHeight="15" x14ac:dyDescent="0.25"/>
  <cols>
    <col min="1" max="2" width="2.42578125" style="2" customWidth="1"/>
    <col min="3" max="3" width="6.85546875" style="2" bestFit="1" customWidth="1"/>
    <col min="4" max="4" width="76.7109375" style="2" customWidth="1"/>
    <col min="5" max="5" width="5.42578125" style="2" bestFit="1" customWidth="1"/>
    <col min="6" max="6" width="8.42578125" style="2" bestFit="1" customWidth="1"/>
    <col min="7" max="7" width="15.42578125" style="3" bestFit="1" customWidth="1"/>
    <col min="8" max="10" width="19.5703125" style="3" customWidth="1"/>
    <col min="11" max="11" width="12.140625" style="2" bestFit="1" customWidth="1"/>
    <col min="12" max="12" width="12.7109375" style="2" bestFit="1" customWidth="1"/>
    <col min="13" max="16384" width="9.140625" style="2"/>
  </cols>
  <sheetData>
    <row r="2" spans="3:11" ht="15.75" thickBot="1" x14ac:dyDescent="0.3"/>
    <row r="3" spans="3:11" ht="18.95" customHeight="1" thickBot="1" x14ac:dyDescent="0.3">
      <c r="C3" s="50"/>
      <c r="D3" s="51"/>
      <c r="E3" s="54"/>
      <c r="F3" s="51"/>
      <c r="G3" s="62" t="s">
        <v>98</v>
      </c>
      <c r="H3" s="61"/>
      <c r="I3" s="62" t="s">
        <v>94</v>
      </c>
      <c r="J3" s="61"/>
    </row>
    <row r="4" spans="3:11" ht="15.75" thickBot="1" x14ac:dyDescent="0.3">
      <c r="C4" s="52" t="s">
        <v>0</v>
      </c>
      <c r="D4" s="53" t="s">
        <v>97</v>
      </c>
      <c r="E4" s="55" t="s">
        <v>96</v>
      </c>
      <c r="F4" s="53" t="s">
        <v>95</v>
      </c>
      <c r="G4" s="63" t="s">
        <v>93</v>
      </c>
      <c r="H4" s="64" t="s">
        <v>92</v>
      </c>
      <c r="I4" s="63" t="s">
        <v>93</v>
      </c>
      <c r="J4" s="64" t="s">
        <v>92</v>
      </c>
    </row>
    <row r="5" spans="3:11" ht="15.75" thickBot="1" x14ac:dyDescent="0.3">
      <c r="C5" s="5"/>
      <c r="D5" s="6"/>
      <c r="E5" s="6"/>
      <c r="F5" s="6"/>
      <c r="G5" s="65"/>
      <c r="H5" s="7"/>
      <c r="I5" s="65"/>
      <c r="J5" s="7"/>
    </row>
    <row r="6" spans="3:11" ht="15.75" thickBot="1" x14ac:dyDescent="0.3">
      <c r="C6" s="23">
        <v>1</v>
      </c>
      <c r="D6" s="24" t="s">
        <v>100</v>
      </c>
      <c r="E6" s="25"/>
      <c r="F6" s="25"/>
      <c r="G6" s="66"/>
      <c r="H6" s="26"/>
      <c r="I6" s="66"/>
      <c r="J6" s="26"/>
    </row>
    <row r="7" spans="3:11" x14ac:dyDescent="0.25">
      <c r="C7" s="17" t="s">
        <v>91</v>
      </c>
      <c r="D7" s="10" t="s">
        <v>90</v>
      </c>
      <c r="E7" s="11" t="s">
        <v>74</v>
      </c>
      <c r="F7" s="12">
        <v>1</v>
      </c>
      <c r="G7" s="67">
        <v>1475</v>
      </c>
      <c r="H7" s="7">
        <v>14750000</v>
      </c>
      <c r="I7" s="67">
        <v>12000000</v>
      </c>
      <c r="J7" s="7">
        <f>I7*F7</f>
        <v>12000000</v>
      </c>
      <c r="K7" s="4">
        <f t="shared" ref="K7:K44" si="0">IFERROR(J7/H7-1,"")</f>
        <v>-0.18644067796610164</v>
      </c>
    </row>
    <row r="8" spans="3:11" x14ac:dyDescent="0.25">
      <c r="C8" s="17" t="s">
        <v>89</v>
      </c>
      <c r="D8" s="10" t="s">
        <v>88</v>
      </c>
      <c r="E8" s="11" t="s">
        <v>87</v>
      </c>
      <c r="F8" s="12">
        <v>3.5</v>
      </c>
      <c r="G8" s="67">
        <v>8500000</v>
      </c>
      <c r="H8" s="7">
        <v>29750000</v>
      </c>
      <c r="I8" s="67">
        <v>5000000</v>
      </c>
      <c r="J8" s="7">
        <f>I8*F8</f>
        <v>17500000</v>
      </c>
      <c r="K8" s="4">
        <f t="shared" si="0"/>
        <v>-0.41176470588235292</v>
      </c>
    </row>
    <row r="9" spans="3:11" x14ac:dyDescent="0.25">
      <c r="C9" s="17" t="s">
        <v>86</v>
      </c>
      <c r="D9" s="10" t="s">
        <v>85</v>
      </c>
      <c r="E9" s="11" t="s">
        <v>84</v>
      </c>
      <c r="F9" s="12">
        <v>12917</v>
      </c>
      <c r="G9" s="65">
        <v>900</v>
      </c>
      <c r="H9" s="7">
        <v>11625300</v>
      </c>
      <c r="I9" s="65">
        <v>850</v>
      </c>
      <c r="J9" s="7">
        <f>I9*F9</f>
        <v>10979450</v>
      </c>
      <c r="K9" s="4">
        <f t="shared" si="0"/>
        <v>-5.555555555555558E-2</v>
      </c>
    </row>
    <row r="10" spans="3:11" x14ac:dyDescent="0.25">
      <c r="C10" s="17" t="s">
        <v>83</v>
      </c>
      <c r="D10" s="10" t="s">
        <v>82</v>
      </c>
      <c r="E10" s="11" t="s">
        <v>81</v>
      </c>
      <c r="F10" s="12">
        <v>112</v>
      </c>
      <c r="G10" s="68">
        <v>190</v>
      </c>
      <c r="H10" s="7">
        <v>21269993</v>
      </c>
      <c r="I10" s="68">
        <v>130000</v>
      </c>
      <c r="J10" s="7">
        <f>I10*F10</f>
        <v>14560000</v>
      </c>
      <c r="K10" s="4">
        <f t="shared" si="0"/>
        <v>-0.31546756973544843</v>
      </c>
    </row>
    <row r="11" spans="3:11" ht="45.75" thickBot="1" x14ac:dyDescent="0.3">
      <c r="C11" s="18"/>
      <c r="D11" s="19" t="s">
        <v>80</v>
      </c>
      <c r="E11" s="20" t="s">
        <v>79</v>
      </c>
      <c r="F11" s="21">
        <v>18489</v>
      </c>
      <c r="G11" s="69">
        <v>49518</v>
      </c>
      <c r="H11" s="22">
        <v>915517257</v>
      </c>
      <c r="I11" s="69">
        <v>40600</v>
      </c>
      <c r="J11" s="22">
        <f>I11*F11</f>
        <v>750653400</v>
      </c>
      <c r="K11" s="4">
        <f t="shared" si="0"/>
        <v>-0.1800772795263651</v>
      </c>
    </row>
    <row r="12" spans="3:11" ht="15.75" thickBot="1" x14ac:dyDescent="0.3">
      <c r="C12" s="56"/>
      <c r="D12" s="57" t="s">
        <v>11</v>
      </c>
      <c r="E12" s="58"/>
      <c r="F12" s="58"/>
      <c r="G12" s="70"/>
      <c r="H12" s="71">
        <v>992912550</v>
      </c>
      <c r="I12" s="70"/>
      <c r="J12" s="71">
        <f>SUM(J6:J11)</f>
        <v>805692850</v>
      </c>
      <c r="K12" s="4">
        <f t="shared" si="0"/>
        <v>-0.18855608180196737</v>
      </c>
    </row>
    <row r="13" spans="3:11" x14ac:dyDescent="0.25">
      <c r="C13" s="13" t="s">
        <v>78</v>
      </c>
      <c r="D13" s="14" t="s">
        <v>77</v>
      </c>
      <c r="E13" s="15"/>
      <c r="F13" s="15"/>
      <c r="G13" s="72"/>
      <c r="H13" s="16"/>
      <c r="I13" s="72"/>
      <c r="J13" s="16">
        <f>I13*F13</f>
        <v>0</v>
      </c>
      <c r="K13" s="4" t="str">
        <f t="shared" si="0"/>
        <v/>
      </c>
    </row>
    <row r="14" spans="3:11" ht="15.75" thickBot="1" x14ac:dyDescent="0.3">
      <c r="C14" s="18" t="s">
        <v>76</v>
      </c>
      <c r="D14" s="28" t="s">
        <v>75</v>
      </c>
      <c r="E14" s="29" t="s">
        <v>74</v>
      </c>
      <c r="F14" s="30">
        <v>1</v>
      </c>
      <c r="G14" s="73">
        <v>4000000</v>
      </c>
      <c r="H14" s="31">
        <v>4000000</v>
      </c>
      <c r="I14" s="73">
        <v>3500000</v>
      </c>
      <c r="J14" s="31">
        <f>I14*F14</f>
        <v>3500000</v>
      </c>
      <c r="K14" s="4">
        <f t="shared" si="0"/>
        <v>-0.125</v>
      </c>
    </row>
    <row r="15" spans="3:11" ht="15.75" thickBot="1" x14ac:dyDescent="0.3">
      <c r="C15" s="56"/>
      <c r="D15" s="59" t="s">
        <v>11</v>
      </c>
      <c r="E15" s="60"/>
      <c r="F15" s="60"/>
      <c r="G15" s="70"/>
      <c r="H15" s="71">
        <v>4000000</v>
      </c>
      <c r="I15" s="70"/>
      <c r="J15" s="71">
        <f>J14</f>
        <v>3500000</v>
      </c>
      <c r="K15" s="4">
        <f t="shared" si="0"/>
        <v>-0.125</v>
      </c>
    </row>
    <row r="16" spans="3:11" ht="15" customHeight="1" x14ac:dyDescent="0.25">
      <c r="C16" s="34" t="s">
        <v>73</v>
      </c>
      <c r="D16" s="35" t="s">
        <v>72</v>
      </c>
      <c r="E16" s="15"/>
      <c r="F16" s="15"/>
      <c r="G16" s="72"/>
      <c r="H16" s="16"/>
      <c r="I16" s="72"/>
      <c r="J16" s="16">
        <f t="shared" ref="J16:J43" si="1">I16*F16</f>
        <v>0</v>
      </c>
      <c r="K16" s="4" t="str">
        <f t="shared" si="0"/>
        <v/>
      </c>
    </row>
    <row r="17" spans="3:11" x14ac:dyDescent="0.25">
      <c r="C17" s="17" t="s">
        <v>71</v>
      </c>
      <c r="D17" s="8" t="s">
        <v>70</v>
      </c>
      <c r="E17" s="9"/>
      <c r="F17" s="9"/>
      <c r="G17" s="74"/>
      <c r="H17" s="36"/>
      <c r="I17" s="74"/>
      <c r="J17" s="36">
        <f t="shared" si="1"/>
        <v>0</v>
      </c>
      <c r="K17" s="4" t="str">
        <f t="shared" si="0"/>
        <v/>
      </c>
    </row>
    <row r="18" spans="3:11" x14ac:dyDescent="0.25">
      <c r="C18" s="17" t="s">
        <v>69</v>
      </c>
      <c r="D18" s="10" t="s">
        <v>68</v>
      </c>
      <c r="E18" s="6" t="s">
        <v>67</v>
      </c>
      <c r="F18" s="27">
        <v>25</v>
      </c>
      <c r="G18" s="75">
        <v>35</v>
      </c>
      <c r="H18" s="37">
        <v>875000</v>
      </c>
      <c r="I18" s="75"/>
      <c r="J18" s="37">
        <v>875000</v>
      </c>
      <c r="K18" s="4">
        <f t="shared" si="0"/>
        <v>0</v>
      </c>
    </row>
    <row r="19" spans="3:11" x14ac:dyDescent="0.25">
      <c r="C19" s="17" t="s">
        <v>66</v>
      </c>
      <c r="D19" s="10" t="s">
        <v>65</v>
      </c>
      <c r="E19" s="6" t="s">
        <v>62</v>
      </c>
      <c r="F19" s="27">
        <v>3</v>
      </c>
      <c r="G19" s="75">
        <v>1900000</v>
      </c>
      <c r="H19" s="38">
        <v>5700000</v>
      </c>
      <c r="I19" s="75"/>
      <c r="J19" s="38">
        <v>5700000</v>
      </c>
      <c r="K19" s="4">
        <f t="shared" si="0"/>
        <v>0</v>
      </c>
    </row>
    <row r="20" spans="3:11" x14ac:dyDescent="0.25">
      <c r="C20" s="17" t="s">
        <v>64</v>
      </c>
      <c r="D20" s="10" t="s">
        <v>63</v>
      </c>
      <c r="E20" s="6" t="s">
        <v>62</v>
      </c>
      <c r="F20" s="27">
        <v>1</v>
      </c>
      <c r="G20" s="75">
        <v>2050000</v>
      </c>
      <c r="H20" s="38">
        <v>2050000</v>
      </c>
      <c r="I20" s="75"/>
      <c r="J20" s="38">
        <v>2050000</v>
      </c>
      <c r="K20" s="4">
        <f t="shared" si="0"/>
        <v>0</v>
      </c>
    </row>
    <row r="21" spans="3:11" x14ac:dyDescent="0.25">
      <c r="C21" s="17" t="s">
        <v>61</v>
      </c>
      <c r="D21" s="10" t="s">
        <v>60</v>
      </c>
      <c r="E21" s="6" t="s">
        <v>20</v>
      </c>
      <c r="F21" s="27">
        <v>1</v>
      </c>
      <c r="G21" s="75">
        <v>2300000</v>
      </c>
      <c r="H21" s="38">
        <v>2300000</v>
      </c>
      <c r="I21" s="75"/>
      <c r="J21" s="38">
        <v>2300000</v>
      </c>
      <c r="K21" s="4">
        <f t="shared" si="0"/>
        <v>0</v>
      </c>
    </row>
    <row r="22" spans="3:11" x14ac:dyDescent="0.25">
      <c r="C22" s="39" t="s">
        <v>59</v>
      </c>
      <c r="D22" s="8" t="s">
        <v>101</v>
      </c>
      <c r="E22" s="9"/>
      <c r="F22" s="9"/>
      <c r="G22" s="74"/>
      <c r="H22" s="36"/>
      <c r="I22" s="74"/>
      <c r="J22" s="36"/>
      <c r="K22" s="4" t="str">
        <f t="shared" si="0"/>
        <v/>
      </c>
    </row>
    <row r="23" spans="3:11" x14ac:dyDescent="0.25">
      <c r="C23" s="17" t="s">
        <v>58</v>
      </c>
      <c r="D23" s="10" t="s">
        <v>57</v>
      </c>
      <c r="E23" s="6" t="s">
        <v>47</v>
      </c>
      <c r="F23" s="11">
        <v>10</v>
      </c>
      <c r="G23" s="75">
        <v>580</v>
      </c>
      <c r="H23" s="38">
        <v>5800000</v>
      </c>
      <c r="I23" s="75"/>
      <c r="J23" s="38">
        <v>5800000</v>
      </c>
      <c r="K23" s="4">
        <f t="shared" si="0"/>
        <v>0</v>
      </c>
    </row>
    <row r="24" spans="3:11" x14ac:dyDescent="0.25">
      <c r="C24" s="39" t="s">
        <v>56</v>
      </c>
      <c r="D24" s="8" t="s">
        <v>55</v>
      </c>
      <c r="E24" s="9"/>
      <c r="F24" s="9"/>
      <c r="G24" s="74"/>
      <c r="H24" s="36"/>
      <c r="I24" s="74"/>
      <c r="J24" s="36"/>
      <c r="K24" s="4" t="str">
        <f t="shared" si="0"/>
        <v/>
      </c>
    </row>
    <row r="25" spans="3:11" x14ac:dyDescent="0.25">
      <c r="C25" s="17" t="s">
        <v>54</v>
      </c>
      <c r="D25" s="10" t="s">
        <v>53</v>
      </c>
      <c r="E25" s="6" t="s">
        <v>50</v>
      </c>
      <c r="F25" s="11">
        <v>270</v>
      </c>
      <c r="G25" s="75">
        <v>20.6</v>
      </c>
      <c r="H25" s="38">
        <v>5562000</v>
      </c>
      <c r="I25" s="75"/>
      <c r="J25" s="38">
        <v>5562000</v>
      </c>
      <c r="K25" s="4">
        <f t="shared" si="0"/>
        <v>0</v>
      </c>
    </row>
    <row r="26" spans="3:11" x14ac:dyDescent="0.25">
      <c r="C26" s="17" t="s">
        <v>52</v>
      </c>
      <c r="D26" s="10" t="s">
        <v>51</v>
      </c>
      <c r="E26" s="6" t="s">
        <v>50</v>
      </c>
      <c r="F26" s="11">
        <v>270</v>
      </c>
      <c r="G26" s="75">
        <v>59.78</v>
      </c>
      <c r="H26" s="38">
        <v>16140600</v>
      </c>
      <c r="I26" s="75"/>
      <c r="J26" s="38">
        <v>16140600</v>
      </c>
      <c r="K26" s="4">
        <f t="shared" si="0"/>
        <v>0</v>
      </c>
    </row>
    <row r="27" spans="3:11" x14ac:dyDescent="0.25">
      <c r="C27" s="17" t="s">
        <v>49</v>
      </c>
      <c r="D27" s="10" t="s">
        <v>48</v>
      </c>
      <c r="E27" s="6" t="s">
        <v>47</v>
      </c>
      <c r="F27" s="11">
        <v>10</v>
      </c>
      <c r="G27" s="75">
        <v>580</v>
      </c>
      <c r="H27" s="38">
        <v>5800000</v>
      </c>
      <c r="I27" s="75"/>
      <c r="J27" s="38">
        <v>5800000</v>
      </c>
      <c r="K27" s="4">
        <f t="shared" si="0"/>
        <v>0</v>
      </c>
    </row>
    <row r="28" spans="3:11" x14ac:dyDescent="0.25">
      <c r="C28" s="39" t="s">
        <v>46</v>
      </c>
      <c r="D28" s="8" t="s">
        <v>45</v>
      </c>
      <c r="E28" s="9"/>
      <c r="F28" s="9"/>
      <c r="G28" s="74"/>
      <c r="H28" s="7" t="s">
        <v>44</v>
      </c>
      <c r="I28" s="74"/>
      <c r="J28" s="7">
        <f t="shared" si="1"/>
        <v>0</v>
      </c>
      <c r="K28" s="4" t="str">
        <f t="shared" si="0"/>
        <v/>
      </c>
    </row>
    <row r="29" spans="3:11" x14ac:dyDescent="0.25">
      <c r="C29" s="17" t="s">
        <v>43</v>
      </c>
      <c r="D29" s="10" t="s">
        <v>42</v>
      </c>
      <c r="E29" s="6" t="s">
        <v>27</v>
      </c>
      <c r="F29" s="27">
        <v>199</v>
      </c>
      <c r="G29" s="75">
        <v>19.5</v>
      </c>
      <c r="H29" s="38">
        <v>3889080</v>
      </c>
      <c r="I29" s="75">
        <v>15400</v>
      </c>
      <c r="J29" s="38">
        <f t="shared" si="1"/>
        <v>3064600</v>
      </c>
      <c r="K29" s="4">
        <f t="shared" si="0"/>
        <v>-0.21199872463410374</v>
      </c>
    </row>
    <row r="30" spans="3:11" x14ac:dyDescent="0.25">
      <c r="C30" s="17" t="s">
        <v>41</v>
      </c>
      <c r="D30" s="10" t="s">
        <v>40</v>
      </c>
      <c r="E30" s="6" t="s">
        <v>27</v>
      </c>
      <c r="F30" s="27">
        <v>179</v>
      </c>
      <c r="G30" s="75">
        <v>165</v>
      </c>
      <c r="H30" s="37">
        <v>2961684</v>
      </c>
      <c r="I30" s="75">
        <v>15900</v>
      </c>
      <c r="J30" s="37">
        <f t="shared" si="1"/>
        <v>2846100</v>
      </c>
      <c r="K30" s="4">
        <f t="shared" si="0"/>
        <v>-3.9026445765314555E-2</v>
      </c>
    </row>
    <row r="31" spans="3:11" x14ac:dyDescent="0.25">
      <c r="C31" s="17" t="s">
        <v>39</v>
      </c>
      <c r="D31" s="10" t="s">
        <v>38</v>
      </c>
      <c r="E31" s="6" t="s">
        <v>12</v>
      </c>
      <c r="F31" s="27">
        <v>280</v>
      </c>
      <c r="G31" s="75">
        <v>61</v>
      </c>
      <c r="H31" s="37">
        <v>17080000</v>
      </c>
      <c r="I31" s="75">
        <v>52000</v>
      </c>
      <c r="J31" s="37">
        <f t="shared" si="1"/>
        <v>14560000</v>
      </c>
      <c r="K31" s="4">
        <f t="shared" si="0"/>
        <v>-0.14754098360655743</v>
      </c>
    </row>
    <row r="32" spans="3:11" x14ac:dyDescent="0.25">
      <c r="C32" s="17" t="s">
        <v>37</v>
      </c>
      <c r="D32" s="32" t="s">
        <v>36</v>
      </c>
      <c r="E32" s="9"/>
      <c r="F32" s="9"/>
      <c r="G32" s="74"/>
      <c r="H32" s="36"/>
      <c r="I32" s="74"/>
      <c r="J32" s="36">
        <f t="shared" si="1"/>
        <v>0</v>
      </c>
      <c r="K32" s="4" t="str">
        <f t="shared" si="0"/>
        <v/>
      </c>
    </row>
    <row r="33" spans="3:11" x14ac:dyDescent="0.25">
      <c r="C33" s="17" t="s">
        <v>35</v>
      </c>
      <c r="D33" s="33" t="s">
        <v>34</v>
      </c>
      <c r="E33" s="6" t="s">
        <v>20</v>
      </c>
      <c r="F33" s="27">
        <v>2</v>
      </c>
      <c r="G33" s="75">
        <v>1230000</v>
      </c>
      <c r="H33" s="37">
        <v>2460000</v>
      </c>
      <c r="I33" s="75">
        <v>1050000</v>
      </c>
      <c r="J33" s="37">
        <f t="shared" si="1"/>
        <v>2100000</v>
      </c>
      <c r="K33" s="4">
        <f t="shared" si="0"/>
        <v>-0.14634146341463417</v>
      </c>
    </row>
    <row r="34" spans="3:11" x14ac:dyDescent="0.25">
      <c r="C34" s="39" t="s">
        <v>33</v>
      </c>
      <c r="D34" s="8" t="s">
        <v>32</v>
      </c>
      <c r="E34" s="9"/>
      <c r="F34" s="9"/>
      <c r="G34" s="74"/>
      <c r="H34" s="36"/>
      <c r="I34" s="74"/>
      <c r="J34" s="36">
        <f t="shared" si="1"/>
        <v>0</v>
      </c>
      <c r="K34" s="4" t="str">
        <f t="shared" si="0"/>
        <v/>
      </c>
    </row>
    <row r="35" spans="3:11" x14ac:dyDescent="0.25">
      <c r="C35" s="17" t="s">
        <v>31</v>
      </c>
      <c r="D35" s="10" t="s">
        <v>30</v>
      </c>
      <c r="E35" s="6" t="s">
        <v>27</v>
      </c>
      <c r="F35" s="27">
        <v>179</v>
      </c>
      <c r="G35" s="75">
        <v>195</v>
      </c>
      <c r="H35" s="37">
        <v>3495960</v>
      </c>
      <c r="I35" s="75">
        <v>16500</v>
      </c>
      <c r="J35" s="37">
        <f t="shared" si="1"/>
        <v>2953500</v>
      </c>
      <c r="K35" s="4">
        <f t="shared" si="0"/>
        <v>-0.15516767926406483</v>
      </c>
    </row>
    <row r="36" spans="3:11" x14ac:dyDescent="0.25">
      <c r="C36" s="17" t="s">
        <v>29</v>
      </c>
      <c r="D36" s="10" t="s">
        <v>28</v>
      </c>
      <c r="E36" s="6" t="s">
        <v>27</v>
      </c>
      <c r="F36" s="27">
        <v>161</v>
      </c>
      <c r="G36" s="75">
        <v>10</v>
      </c>
      <c r="H36" s="37">
        <v>1613520</v>
      </c>
      <c r="I36" s="75">
        <v>9100</v>
      </c>
      <c r="J36" s="37">
        <f t="shared" si="1"/>
        <v>1465100</v>
      </c>
      <c r="K36" s="4">
        <f t="shared" si="0"/>
        <v>-9.1985224850017366E-2</v>
      </c>
    </row>
    <row r="37" spans="3:11" x14ac:dyDescent="0.25">
      <c r="C37" s="17" t="s">
        <v>26</v>
      </c>
      <c r="D37" s="10" t="s">
        <v>25</v>
      </c>
      <c r="E37" s="6" t="s">
        <v>12</v>
      </c>
      <c r="F37" s="27">
        <v>280</v>
      </c>
      <c r="G37" s="75">
        <v>6165</v>
      </c>
      <c r="H37" s="37">
        <v>17262000</v>
      </c>
      <c r="I37" s="75">
        <v>58000</v>
      </c>
      <c r="J37" s="37">
        <f t="shared" si="1"/>
        <v>16240000</v>
      </c>
      <c r="K37" s="4">
        <f t="shared" si="0"/>
        <v>-5.9205190592051871E-2</v>
      </c>
    </row>
    <row r="38" spans="3:11" x14ac:dyDescent="0.25">
      <c r="C38" s="17" t="s">
        <v>24</v>
      </c>
      <c r="D38" s="10" t="s">
        <v>23</v>
      </c>
      <c r="E38" s="6" t="s">
        <v>20</v>
      </c>
      <c r="F38" s="27">
        <v>4</v>
      </c>
      <c r="G38" s="75">
        <v>2130000</v>
      </c>
      <c r="H38" s="37">
        <v>8520000</v>
      </c>
      <c r="I38" s="75">
        <v>1950000</v>
      </c>
      <c r="J38" s="37">
        <f t="shared" si="1"/>
        <v>7800000</v>
      </c>
      <c r="K38" s="4">
        <f t="shared" si="0"/>
        <v>-8.4507042253521125E-2</v>
      </c>
    </row>
    <row r="39" spans="3:11" x14ac:dyDescent="0.25">
      <c r="C39" s="17" t="s">
        <v>22</v>
      </c>
      <c r="D39" s="10" t="s">
        <v>21</v>
      </c>
      <c r="E39" s="6" t="s">
        <v>20</v>
      </c>
      <c r="F39" s="27">
        <v>12</v>
      </c>
      <c r="G39" s="75">
        <v>1300000</v>
      </c>
      <c r="H39" s="37">
        <v>15600000</v>
      </c>
      <c r="I39" s="75">
        <v>1200000</v>
      </c>
      <c r="J39" s="37">
        <f t="shared" si="1"/>
        <v>14400000</v>
      </c>
      <c r="K39" s="4">
        <f t="shared" si="0"/>
        <v>-7.6923076923076872E-2</v>
      </c>
    </row>
    <row r="40" spans="3:11" x14ac:dyDescent="0.25">
      <c r="C40" s="39" t="s">
        <v>19</v>
      </c>
      <c r="D40" s="32" t="s">
        <v>18</v>
      </c>
      <c r="E40" s="9"/>
      <c r="F40" s="9"/>
      <c r="G40" s="74"/>
      <c r="H40" s="36"/>
      <c r="I40" s="74"/>
      <c r="J40" s="36">
        <f t="shared" si="1"/>
        <v>0</v>
      </c>
      <c r="K40" s="4" t="str">
        <f t="shared" si="0"/>
        <v/>
      </c>
    </row>
    <row r="41" spans="3:11" x14ac:dyDescent="0.25">
      <c r="C41" s="17" t="s">
        <v>17</v>
      </c>
      <c r="D41" s="10" t="s">
        <v>16</v>
      </c>
      <c r="E41" s="6" t="s">
        <v>12</v>
      </c>
      <c r="F41" s="27">
        <v>20</v>
      </c>
      <c r="G41" s="75">
        <v>195</v>
      </c>
      <c r="H41" s="37">
        <v>390000</v>
      </c>
      <c r="I41" s="75">
        <v>18200</v>
      </c>
      <c r="J41" s="37">
        <f t="shared" si="1"/>
        <v>364000</v>
      </c>
      <c r="K41" s="4">
        <f t="shared" si="0"/>
        <v>-6.6666666666666652E-2</v>
      </c>
    </row>
    <row r="42" spans="3:11" x14ac:dyDescent="0.25">
      <c r="C42" s="17" t="s">
        <v>14</v>
      </c>
      <c r="D42" s="10" t="s">
        <v>15</v>
      </c>
      <c r="E42" s="6" t="s">
        <v>12</v>
      </c>
      <c r="F42" s="27">
        <v>18</v>
      </c>
      <c r="G42" s="75">
        <v>10</v>
      </c>
      <c r="H42" s="37">
        <v>180000</v>
      </c>
      <c r="I42" s="75">
        <v>8600</v>
      </c>
      <c r="J42" s="37">
        <f t="shared" si="1"/>
        <v>154800</v>
      </c>
      <c r="K42" s="4">
        <f t="shared" si="0"/>
        <v>-0.14000000000000001</v>
      </c>
    </row>
    <row r="43" spans="3:11" ht="15.75" thickBot="1" x14ac:dyDescent="0.3">
      <c r="C43" s="18" t="s">
        <v>13</v>
      </c>
      <c r="D43" s="28" t="s">
        <v>99</v>
      </c>
      <c r="E43" s="29" t="s">
        <v>12</v>
      </c>
      <c r="F43" s="30">
        <v>25</v>
      </c>
      <c r="G43" s="73">
        <v>6165</v>
      </c>
      <c r="H43" s="40">
        <v>1541250</v>
      </c>
      <c r="I43" s="73">
        <v>58000</v>
      </c>
      <c r="J43" s="40">
        <f t="shared" si="1"/>
        <v>1450000</v>
      </c>
      <c r="K43" s="4">
        <f t="shared" si="0"/>
        <v>-5.9205190592051871E-2</v>
      </c>
    </row>
    <row r="44" spans="3:11" ht="15.75" thickBot="1" x14ac:dyDescent="0.3">
      <c r="C44" s="56"/>
      <c r="D44" s="59" t="s">
        <v>11</v>
      </c>
      <c r="E44" s="60"/>
      <c r="F44" s="60"/>
      <c r="G44" s="70"/>
      <c r="H44" s="71">
        <v>119221094</v>
      </c>
      <c r="I44" s="70"/>
      <c r="J44" s="71">
        <f>SUM(J16:J43)</f>
        <v>111625700</v>
      </c>
      <c r="K44" s="4">
        <f t="shared" si="0"/>
        <v>-6.3708474273856286E-2</v>
      </c>
    </row>
    <row r="45" spans="3:11" x14ac:dyDescent="0.25">
      <c r="C45" s="42"/>
      <c r="D45" s="14" t="s">
        <v>10</v>
      </c>
      <c r="E45" s="15"/>
      <c r="F45" s="15"/>
      <c r="G45" s="72"/>
      <c r="H45" s="43">
        <v>1116133644</v>
      </c>
      <c r="I45" s="72"/>
      <c r="J45" s="43">
        <f>SUM(J44,J15,J12)</f>
        <v>920818550</v>
      </c>
    </row>
    <row r="46" spans="3:11" x14ac:dyDescent="0.25">
      <c r="C46" s="44"/>
      <c r="D46" s="10" t="s">
        <v>4</v>
      </c>
      <c r="E46" s="41">
        <v>0.05</v>
      </c>
      <c r="F46" s="9"/>
      <c r="G46" s="74"/>
      <c r="H46" s="45">
        <v>55806682</v>
      </c>
      <c r="I46" s="74"/>
      <c r="J46" s="45"/>
    </row>
    <row r="47" spans="3:11" x14ac:dyDescent="0.25">
      <c r="C47" s="44"/>
      <c r="D47" s="10" t="s">
        <v>6</v>
      </c>
      <c r="E47" s="41">
        <v>0.04</v>
      </c>
      <c r="F47" s="9"/>
      <c r="G47" s="74"/>
      <c r="H47" s="45">
        <v>44645346</v>
      </c>
      <c r="I47" s="74"/>
      <c r="J47" s="45"/>
    </row>
    <row r="48" spans="3:11" x14ac:dyDescent="0.25">
      <c r="C48" s="44"/>
      <c r="D48" s="10" t="s">
        <v>5</v>
      </c>
      <c r="E48" s="41">
        <v>0.01</v>
      </c>
      <c r="F48" s="9"/>
      <c r="G48" s="74"/>
      <c r="H48" s="45">
        <v>11161336</v>
      </c>
      <c r="I48" s="74"/>
      <c r="J48" s="45"/>
    </row>
    <row r="49" spans="3:11" x14ac:dyDescent="0.25">
      <c r="C49" s="44"/>
      <c r="D49" s="10" t="s">
        <v>9</v>
      </c>
      <c r="E49" s="41">
        <v>0.19</v>
      </c>
      <c r="F49" s="9"/>
      <c r="G49" s="74"/>
      <c r="H49" s="45">
        <v>8482616</v>
      </c>
      <c r="I49" s="74"/>
      <c r="J49" s="45"/>
    </row>
    <row r="50" spans="3:11" ht="16.5" thickBot="1" x14ac:dyDescent="0.3">
      <c r="C50" s="46"/>
      <c r="D50" s="47" t="s">
        <v>8</v>
      </c>
      <c r="E50" s="48"/>
      <c r="F50" s="48"/>
      <c r="G50" s="76"/>
      <c r="H50" s="49">
        <v>1236229624</v>
      </c>
      <c r="I50" s="76"/>
      <c r="J50" s="49">
        <f>SUM(J45:J49)</f>
        <v>920818550</v>
      </c>
      <c r="K50" s="2">
        <f>J50/H50</f>
        <v>0.74486044673525797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CONSULTORIA_OBRA</vt:lpstr>
      <vt:lpstr>Construccion</vt:lpstr>
      <vt:lpstr>Movimiento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Carmina Gomez Batista</cp:lastModifiedBy>
  <cp:lastPrinted>2020-06-18T22:17:14Z</cp:lastPrinted>
  <dcterms:created xsi:type="dcterms:W3CDTF">2017-08-10T23:18:34Z</dcterms:created>
  <dcterms:modified xsi:type="dcterms:W3CDTF">2024-02-14T15:06:18Z</dcterms:modified>
</cp:coreProperties>
</file>