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1"/>
  <workbookPr/>
  <mc:AlternateContent xmlns:mc="http://schemas.openxmlformats.org/markup-compatibility/2006">
    <mc:Choice Requires="x15">
      <x15ac:absPath xmlns:x15ac="http://schemas.microsoft.com/office/spreadsheetml/2010/11/ac" url="E:\UCP 2024\CERRAMIENTO DESMONTABLE PALACIO DE JUSTICIA\ofertas rebidas cotizacion\"/>
    </mc:Choice>
  </mc:AlternateContent>
  <xr:revisionPtr revIDLastSave="19" documentId="11_E18EAAB94D7897781E2063445F3C6CD127343FF9" xr6:coauthVersionLast="47" xr6:coauthVersionMax="47" xr10:uidLastSave="{2032958C-D43B-48DE-A312-D2AFC8341350}"/>
  <bookViews>
    <workbookView xWindow="0" yWindow="0" windowWidth="28800" windowHeight="12210" xr2:uid="{00000000-000D-0000-FFFF-FFFF00000000}"/>
  </bookViews>
  <sheets>
    <sheet name="FORMATO COT CERRAMIENTO METAL M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L13" i="1"/>
  <c r="K12" i="1"/>
  <c r="L12" i="1"/>
  <c r="K11" i="1"/>
  <c r="L11" i="1"/>
  <c r="K10" i="1"/>
  <c r="L10" i="1" s="1"/>
  <c r="U10" i="1"/>
  <c r="V10" i="1"/>
  <c r="S10" i="1"/>
  <c r="S11" i="1"/>
  <c r="S13" i="1"/>
  <c r="T13" i="1" s="1"/>
  <c r="R10" i="1"/>
  <c r="R11" i="1"/>
  <c r="R12" i="1"/>
  <c r="R13" i="1"/>
  <c r="R14" i="1"/>
  <c r="R9" i="1"/>
  <c r="AA9" i="1" s="1"/>
  <c r="T10" i="1" l="1"/>
  <c r="T11" i="1"/>
  <c r="P10" i="1"/>
  <c r="P11" i="1"/>
  <c r="P12" i="1"/>
  <c r="P13" i="1"/>
  <c r="P14" i="1"/>
  <c r="P9" i="1"/>
  <c r="N10" i="1" l="1"/>
  <c r="N11" i="1"/>
  <c r="N12" i="1"/>
  <c r="N13" i="1"/>
  <c r="N14" i="1"/>
  <c r="N9" i="1"/>
  <c r="AA10" i="1" l="1"/>
  <c r="X9" i="1"/>
  <c r="W9" i="1"/>
  <c r="AA13" i="1"/>
  <c r="L14" i="1"/>
  <c r="W14" i="1" s="1"/>
  <c r="AA14" i="1" s="1"/>
  <c r="AA11" i="1"/>
  <c r="W10" i="1"/>
  <c r="T9" i="1"/>
  <c r="V9" i="1" s="1"/>
  <c r="AA12" i="1" l="1"/>
  <c r="X12" i="1"/>
  <c r="W12" i="1"/>
  <c r="X13" i="1"/>
  <c r="W13" i="1"/>
  <c r="AA15" i="1"/>
  <c r="Y9" i="1"/>
  <c r="Z9" i="1"/>
  <c r="X10" i="1"/>
  <c r="Y10" i="1" s="1"/>
  <c r="Z12" i="1"/>
  <c r="Y12" i="1"/>
  <c r="X11" i="1"/>
  <c r="Y13" i="1"/>
  <c r="Z13" i="1"/>
  <c r="W11" i="1"/>
  <c r="Z11" i="1" s="1"/>
  <c r="V11" i="1"/>
  <c r="T12" i="1"/>
  <c r="V12" i="1" s="1"/>
  <c r="V13" i="1"/>
  <c r="T14" i="1"/>
  <c r="V14" i="1" s="1"/>
  <c r="L9" i="1"/>
  <c r="L15" i="1" s="1"/>
  <c r="Z10" i="1" l="1"/>
  <c r="Y11" i="1"/>
  <c r="N15" i="1"/>
  <c r="P15" i="1" l="1"/>
  <c r="R15" i="1" l="1"/>
  <c r="V15" i="1" l="1"/>
  <c r="T15" i="1"/>
</calcChain>
</file>

<file path=xl/sharedStrings.xml><?xml version="1.0" encoding="utf-8"?>
<sst xmlns="http://schemas.openxmlformats.org/spreadsheetml/2006/main" count="49" uniqueCount="35">
  <si>
    <t>DIRECCION EJECUTIVA DE ADMINISTRACION JUDICIAL</t>
  </si>
  <si>
    <t xml:space="preserve">ESTUDIO DE MERCADO </t>
  </si>
  <si>
    <t>FECHA : FEBRERO DE 2024</t>
  </si>
  <si>
    <t>PROCESO:</t>
  </si>
  <si>
    <t>FABRICACION DE UN CERRAMIENTO DESMONTABLE PARA EL PALACIO DE JUSTICIA ALFONSO REYES ECHANDIA</t>
  </si>
  <si>
    <t>OFERENTES</t>
  </si>
  <si>
    <t>RIVERA Y BOHORQUEZ ING SAS</t>
  </si>
  <si>
    <t>CERCASEL</t>
  </si>
  <si>
    <t>METAL FORCE SAS</t>
  </si>
  <si>
    <t>NACH SOLUCIONES AMBIENTALES</t>
  </si>
  <si>
    <t>CERCOL COLOMBIA SAS</t>
  </si>
  <si>
    <t>MANDALA DECORACION SAS</t>
  </si>
  <si>
    <t>PROMEDIO DE LOS VALORES ESTANDARES</t>
  </si>
  <si>
    <t>ITEM</t>
  </si>
  <si>
    <t>DESCRIPCION</t>
  </si>
  <si>
    <t>UNIDAD DE MEDIDA</t>
  </si>
  <si>
    <t>CANTIDAD</t>
  </si>
  <si>
    <t>VR UNITARIO IVA INCLUIDO</t>
  </si>
  <si>
    <t>VR TOTAL INCLUIDO IVA</t>
  </si>
  <si>
    <t xml:space="preserve">PROMEDIO </t>
  </si>
  <si>
    <t>DESV. EST</t>
  </si>
  <si>
    <t>LIMITE SUP</t>
  </si>
  <si>
    <t>LIMITE INF</t>
  </si>
  <si>
    <t>PROMEDIO PODADO</t>
  </si>
  <si>
    <t>AJUSTE AL DISEÑO</t>
  </si>
  <si>
    <t>UN</t>
  </si>
  <si>
    <t>FABRICACION CERRAMIENTO TIPO 1 : MODULOS CON PLATAFORMA FT  CP-1</t>
  </si>
  <si>
    <t>ML</t>
  </si>
  <si>
    <t>FABRICACION CERRAMIENTO TIPO 2 : MODULOS SIN PLATAFORMA FT  CP-2</t>
  </si>
  <si>
    <t>BASES PARA LOS MODULOS SIN PLATAFORMA FT CP -3</t>
  </si>
  <si>
    <t>ABRAZADERA PARA LAS COLUMNAS PARA LOS MODULOS SIN PLATAFORMA</t>
  </si>
  <si>
    <t>FABRICACION ELEMENTO DE TRANSPORTE INTERNO *</t>
  </si>
  <si>
    <t>VALOR TOTAL DE LA OFERTA</t>
  </si>
  <si>
    <t>items no cotizados en las propuestas</t>
  </si>
  <si>
    <t>item a ser colocado como provision hasta la definicion del diseño establecido en el item 1 y cuyo calculo es diferente a los demas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</si>
</sst>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\ #,##0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7"/>
      <name val="Arial"/>
      <family val="2"/>
    </font>
    <font>
      <sz val="6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1F4E78"/>
        <bgColor rgb="FF000000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1" fillId="0" borderId="9" xfId="0" applyFont="1" applyBorder="1" applyAlignment="1">
      <alignment horizontal="left"/>
    </xf>
    <xf numFmtId="0" fontId="0" fillId="0" borderId="9" xfId="0" applyBorder="1" applyAlignment="1">
      <alignment horizontal="center"/>
    </xf>
    <xf numFmtId="0" fontId="1" fillId="0" borderId="9" xfId="0" applyFont="1" applyBorder="1" applyAlignment="1">
      <alignment horizontal="center"/>
    </xf>
    <xf numFmtId="165" fontId="1" fillId="0" borderId="9" xfId="0" applyNumberFormat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65" fontId="0" fillId="4" borderId="9" xfId="0" applyNumberFormat="1" applyFill="1" applyBorder="1" applyAlignment="1" applyProtection="1">
      <alignment horizontal="center" vertical="center"/>
      <protection locked="0"/>
    </xf>
    <xf numFmtId="165" fontId="1" fillId="4" borderId="9" xfId="0" applyNumberFormat="1" applyFont="1" applyFill="1" applyBorder="1"/>
    <xf numFmtId="0" fontId="0" fillId="4" borderId="0" xfId="0" applyFill="1"/>
    <xf numFmtId="165" fontId="0" fillId="4" borderId="9" xfId="0" applyNumberFormat="1" applyFill="1" applyBorder="1" applyAlignment="1" applyProtection="1">
      <alignment horizontal="center"/>
      <protection locked="0"/>
    </xf>
    <xf numFmtId="0" fontId="6" fillId="6" borderId="14" xfId="0" applyFont="1" applyFill="1" applyBorder="1" applyAlignment="1">
      <alignment horizontal="center" vertical="center" wrapText="1"/>
    </xf>
    <xf numFmtId="3" fontId="0" fillId="7" borderId="9" xfId="0" applyNumberFormat="1" applyFill="1" applyBorder="1"/>
    <xf numFmtId="164" fontId="2" fillId="0" borderId="15" xfId="1" applyFont="1" applyBorder="1"/>
    <xf numFmtId="0" fontId="7" fillId="0" borderId="9" xfId="0" applyFont="1" applyBorder="1"/>
    <xf numFmtId="165" fontId="2" fillId="0" borderId="9" xfId="0" applyNumberFormat="1" applyFont="1" applyBorder="1" applyAlignment="1">
      <alignment horizontal="center"/>
    </xf>
    <xf numFmtId="165" fontId="2" fillId="0" borderId="9" xfId="0" applyNumberFormat="1" applyFont="1" applyBorder="1"/>
    <xf numFmtId="0" fontId="7" fillId="0" borderId="0" xfId="0" applyFont="1"/>
    <xf numFmtId="165" fontId="2" fillId="0" borderId="0" xfId="0" applyNumberFormat="1" applyFont="1" applyAlignment="1">
      <alignment horizontal="center"/>
    </xf>
    <xf numFmtId="165" fontId="2" fillId="0" borderId="0" xfId="0" applyNumberFormat="1" applyFont="1"/>
    <xf numFmtId="3" fontId="0" fillId="0" borderId="0" xfId="0" applyNumberFormat="1" applyAlignment="1">
      <alignment horizontal="center"/>
    </xf>
    <xf numFmtId="164" fontId="2" fillId="0" borderId="0" xfId="1" applyFont="1" applyBorder="1"/>
    <xf numFmtId="0" fontId="1" fillId="7" borderId="9" xfId="0" applyFont="1" applyFill="1" applyBorder="1" applyAlignment="1">
      <alignment horizontal="left"/>
    </xf>
    <xf numFmtId="0" fontId="1" fillId="7" borderId="9" xfId="0" applyFont="1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165" fontId="0" fillId="7" borderId="9" xfId="0" applyNumberFormat="1" applyFill="1" applyBorder="1" applyAlignment="1" applyProtection="1">
      <alignment horizontal="center"/>
      <protection locked="0"/>
    </xf>
    <xf numFmtId="165" fontId="1" fillId="7" borderId="9" xfId="0" applyNumberFormat="1" applyFont="1" applyFill="1" applyBorder="1"/>
    <xf numFmtId="0" fontId="0" fillId="7" borderId="0" xfId="0" applyFill="1"/>
    <xf numFmtId="3" fontId="0" fillId="0" borderId="9" xfId="0" applyNumberFormat="1" applyBorder="1"/>
    <xf numFmtId="165" fontId="0" fillId="0" borderId="9" xfId="0" applyNumberFormat="1" applyBorder="1" applyAlignment="1" applyProtection="1">
      <alignment horizontal="center"/>
      <protection locked="0"/>
    </xf>
    <xf numFmtId="165" fontId="0" fillId="0" borderId="9" xfId="0" applyNumberForma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3" fontId="3" fillId="0" borderId="1" xfId="0" applyNumberFormat="1" applyFont="1" applyBorder="1" applyAlignment="1">
      <alignment horizontal="center" wrapText="1"/>
    </xf>
    <xf numFmtId="3" fontId="4" fillId="0" borderId="2" xfId="0" applyNumberFormat="1" applyFont="1" applyBorder="1" applyAlignment="1">
      <alignment horizontal="center" wrapText="1"/>
    </xf>
    <xf numFmtId="3" fontId="4" fillId="0" borderId="3" xfId="0" applyNumberFormat="1" applyFont="1" applyBorder="1" applyAlignment="1">
      <alignment horizontal="center" wrapText="1"/>
    </xf>
    <xf numFmtId="3" fontId="4" fillId="0" borderId="4" xfId="0" applyNumberFormat="1" applyFont="1" applyBorder="1" applyAlignment="1">
      <alignment horizontal="center" wrapText="1"/>
    </xf>
    <xf numFmtId="3" fontId="4" fillId="0" borderId="0" xfId="0" applyNumberFormat="1" applyFont="1" applyAlignment="1">
      <alignment horizontal="center" wrapText="1"/>
    </xf>
    <xf numFmtId="3" fontId="4" fillId="0" borderId="5" xfId="0" applyNumberFormat="1" applyFont="1" applyBorder="1" applyAlignment="1">
      <alignment horizontal="center" wrapText="1"/>
    </xf>
    <xf numFmtId="3" fontId="4" fillId="0" borderId="6" xfId="0" applyNumberFormat="1" applyFont="1" applyBorder="1" applyAlignment="1">
      <alignment horizontal="center" wrapText="1"/>
    </xf>
    <xf numFmtId="3" fontId="4" fillId="0" borderId="7" xfId="0" applyNumberFormat="1" applyFont="1" applyBorder="1" applyAlignment="1">
      <alignment horizontal="center" wrapText="1"/>
    </xf>
    <xf numFmtId="3" fontId="4" fillId="0" borderId="8" xfId="0" applyNumberFormat="1" applyFont="1" applyBorder="1" applyAlignment="1">
      <alignment horizontal="center" wrapText="1"/>
    </xf>
    <xf numFmtId="0" fontId="1" fillId="7" borderId="10" xfId="0" applyFont="1" applyFill="1" applyBorder="1" applyAlignment="1">
      <alignment horizontal="left"/>
    </xf>
    <xf numFmtId="0" fontId="1" fillId="7" borderId="12" xfId="0" applyFont="1" applyFill="1" applyBorder="1" applyAlignment="1">
      <alignment horizontal="left"/>
    </xf>
    <xf numFmtId="0" fontId="1" fillId="7" borderId="11" xfId="0" applyFont="1" applyFill="1" applyBorder="1" applyAlignment="1">
      <alignment horizontal="left"/>
    </xf>
    <xf numFmtId="0" fontId="1" fillId="0" borderId="9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1" fillId="5" borderId="0" xfId="0" applyFont="1" applyFill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3" fontId="0" fillId="0" borderId="16" xfId="0" applyNumberFormat="1" applyBorder="1" applyAlignment="1">
      <alignment horizontal="center"/>
    </xf>
    <xf numFmtId="3" fontId="0" fillId="0" borderId="17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171450</xdr:rowOff>
    </xdr:from>
    <xdr:to>
      <xdr:col>3</xdr:col>
      <xdr:colOff>291352</xdr:colOff>
      <xdr:row>5</xdr:row>
      <xdr:rowOff>29825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796BFE4-45A7-4C52-ADDB-01143DCAE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25" y="171450"/>
          <a:ext cx="2291602" cy="848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18"/>
  <sheetViews>
    <sheetView tabSelected="1" workbookViewId="0">
      <selection activeCell="L23" sqref="L23"/>
    </sheetView>
  </sheetViews>
  <sheetFormatPr defaultColWidth="11.42578125" defaultRowHeight="15"/>
  <cols>
    <col min="2" max="2" width="7.28515625" customWidth="1"/>
    <col min="9" max="9" width="16.28515625" customWidth="1"/>
    <col min="10" max="10" width="15.140625" customWidth="1"/>
    <col min="11" max="11" width="20.140625" customWidth="1"/>
    <col min="12" max="12" width="28.28515625" customWidth="1"/>
    <col min="13" max="13" width="21.140625" customWidth="1"/>
    <col min="14" max="14" width="23.85546875" customWidth="1"/>
    <col min="15" max="15" width="16.7109375" customWidth="1"/>
    <col min="16" max="16" width="24.140625" customWidth="1"/>
    <col min="17" max="17" width="18.7109375" customWidth="1"/>
    <col min="18" max="18" width="28.42578125" customWidth="1"/>
    <col min="19" max="19" width="24.7109375" customWidth="1"/>
    <col min="20" max="20" width="23.85546875" customWidth="1"/>
    <col min="21" max="21" width="22.28515625" customWidth="1"/>
    <col min="22" max="22" width="26.140625" customWidth="1"/>
    <col min="23" max="23" width="12.5703125" customWidth="1"/>
    <col min="25" max="25" width="13.5703125" customWidth="1"/>
    <col min="27" max="27" width="20.7109375" customWidth="1"/>
  </cols>
  <sheetData>
    <row r="2" spans="1:27" ht="15.75">
      <c r="A2" s="34"/>
      <c r="B2" s="35"/>
      <c r="C2" s="36"/>
      <c r="D2" s="33" t="s">
        <v>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7"/>
    </row>
    <row r="3" spans="1:27" ht="15.75">
      <c r="A3" s="37"/>
      <c r="B3" s="38"/>
      <c r="C3" s="39"/>
      <c r="D3" s="33" t="s">
        <v>1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7"/>
    </row>
    <row r="4" spans="1:27" ht="15.75">
      <c r="A4" s="37"/>
      <c r="B4" s="38"/>
      <c r="C4" s="39"/>
      <c r="D4" s="33" t="s">
        <v>2</v>
      </c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7"/>
    </row>
    <row r="5" spans="1:27" ht="15.75">
      <c r="A5" s="40"/>
      <c r="B5" s="41"/>
      <c r="C5" s="42"/>
      <c r="D5" s="1" t="s">
        <v>3</v>
      </c>
      <c r="E5" s="47" t="s">
        <v>4</v>
      </c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6"/>
    </row>
    <row r="6" spans="1:27">
      <c r="K6" s="49" t="s">
        <v>5</v>
      </c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</row>
    <row r="7" spans="1:27" ht="33.75" customHeight="1">
      <c r="K7" s="55" t="s">
        <v>6</v>
      </c>
      <c r="L7" s="56"/>
      <c r="M7" s="56" t="s">
        <v>7</v>
      </c>
      <c r="N7" s="56"/>
      <c r="O7" s="56" t="s">
        <v>8</v>
      </c>
      <c r="P7" s="56"/>
      <c r="Q7" s="56" t="s">
        <v>9</v>
      </c>
      <c r="R7" s="56"/>
      <c r="S7" s="56" t="s">
        <v>10</v>
      </c>
      <c r="T7" s="56"/>
      <c r="U7" s="56" t="s">
        <v>11</v>
      </c>
      <c r="V7" s="57"/>
      <c r="W7" s="58" t="s">
        <v>12</v>
      </c>
      <c r="X7" s="50"/>
      <c r="Y7" s="50"/>
      <c r="Z7" s="50"/>
      <c r="AA7" s="50"/>
    </row>
    <row r="8" spans="1:27" ht="30.75" customHeight="1">
      <c r="B8" s="8" t="s">
        <v>13</v>
      </c>
      <c r="C8" s="48" t="s">
        <v>14</v>
      </c>
      <c r="D8" s="48"/>
      <c r="E8" s="48"/>
      <c r="F8" s="48"/>
      <c r="G8" s="48"/>
      <c r="H8" s="48"/>
      <c r="I8" s="8" t="s">
        <v>15</v>
      </c>
      <c r="J8" s="8" t="s">
        <v>16</v>
      </c>
      <c r="K8" s="8" t="s">
        <v>17</v>
      </c>
      <c r="L8" s="8" t="s">
        <v>18</v>
      </c>
      <c r="M8" s="8" t="s">
        <v>17</v>
      </c>
      <c r="N8" s="8" t="s">
        <v>18</v>
      </c>
      <c r="O8" s="8" t="s">
        <v>17</v>
      </c>
      <c r="P8" s="8" t="s">
        <v>18</v>
      </c>
      <c r="Q8" s="8" t="s">
        <v>17</v>
      </c>
      <c r="R8" s="8" t="s">
        <v>18</v>
      </c>
      <c r="S8" s="8" t="s">
        <v>17</v>
      </c>
      <c r="T8" s="8" t="s">
        <v>18</v>
      </c>
      <c r="U8" s="8" t="s">
        <v>17</v>
      </c>
      <c r="V8" s="8" t="s">
        <v>18</v>
      </c>
      <c r="W8" s="13" t="s">
        <v>19</v>
      </c>
      <c r="X8" s="13" t="s">
        <v>20</v>
      </c>
      <c r="Y8" s="13" t="s">
        <v>21</v>
      </c>
      <c r="Z8" s="13" t="s">
        <v>22</v>
      </c>
      <c r="AA8" s="13" t="s">
        <v>23</v>
      </c>
    </row>
    <row r="9" spans="1:27">
      <c r="B9" s="2">
        <v>1</v>
      </c>
      <c r="C9" s="46" t="s">
        <v>24</v>
      </c>
      <c r="D9" s="46"/>
      <c r="E9" s="46"/>
      <c r="F9" s="46"/>
      <c r="G9" s="46"/>
      <c r="H9" s="46"/>
      <c r="I9" s="4" t="s">
        <v>25</v>
      </c>
      <c r="J9" s="3">
        <v>1</v>
      </c>
      <c r="K9" s="9">
        <v>0</v>
      </c>
      <c r="L9" s="10">
        <f>J9*K9</f>
        <v>0</v>
      </c>
      <c r="M9" s="32">
        <v>7510000</v>
      </c>
      <c r="N9" s="5">
        <f>M9*J9</f>
        <v>7510000</v>
      </c>
      <c r="O9" s="32">
        <v>894200</v>
      </c>
      <c r="P9" s="5">
        <f>O9*J9</f>
        <v>894200</v>
      </c>
      <c r="Q9" s="32">
        <v>4522000</v>
      </c>
      <c r="R9" s="5">
        <f>Q9*J9</f>
        <v>4522000</v>
      </c>
      <c r="S9" s="9">
        <v>0</v>
      </c>
      <c r="T9" s="10">
        <f>R9*S9</f>
        <v>0</v>
      </c>
      <c r="U9" s="9">
        <v>0</v>
      </c>
      <c r="V9" s="10">
        <f>T9*U9</f>
        <v>0</v>
      </c>
      <c r="W9" s="30">
        <f>AVERAGE(N9,R9,P9)</f>
        <v>4308733.333333333</v>
      </c>
      <c r="X9" s="30">
        <f>+_xlfn.STDEV.P(N9,R9,P9)</f>
        <v>2705095.7362397034</v>
      </c>
      <c r="Y9" s="30">
        <f>+W9+X9</f>
        <v>7013829.0695730364</v>
      </c>
      <c r="Z9" s="30">
        <f>W9-X9</f>
        <v>1603637.5970936297</v>
      </c>
      <c r="AA9" s="30">
        <f>R9</f>
        <v>4522000</v>
      </c>
    </row>
    <row r="10" spans="1:27">
      <c r="B10" s="2">
        <v>2</v>
      </c>
      <c r="C10" s="46" t="s">
        <v>26</v>
      </c>
      <c r="D10" s="46"/>
      <c r="E10" s="46"/>
      <c r="F10" s="46"/>
      <c r="G10" s="46"/>
      <c r="H10" s="46"/>
      <c r="I10" s="4" t="s">
        <v>27</v>
      </c>
      <c r="J10" s="3">
        <v>302.95</v>
      </c>
      <c r="K10" s="31">
        <f>4125000*1.19</f>
        <v>4908750</v>
      </c>
      <c r="L10" s="5">
        <f>J10*K10</f>
        <v>1487105812.5</v>
      </c>
      <c r="M10" s="31">
        <v>2195907</v>
      </c>
      <c r="N10" s="5">
        <f t="shared" ref="N10:N14" si="0">M10*J10</f>
        <v>665250025.64999998</v>
      </c>
      <c r="O10" s="31">
        <v>1051800</v>
      </c>
      <c r="P10" s="5">
        <f t="shared" ref="P10:P14" si="1">O10*J10</f>
        <v>318642810</v>
      </c>
      <c r="Q10" s="31">
        <v>2680877.83</v>
      </c>
      <c r="R10" s="5">
        <f t="shared" ref="R10:R14" si="2">Q10*J10</f>
        <v>812171938.59850001</v>
      </c>
      <c r="S10" s="31">
        <f>2027978.214*1.19</f>
        <v>2413294.0746599999</v>
      </c>
      <c r="T10" s="5">
        <f>S10*J10</f>
        <v>731107439.91824698</v>
      </c>
      <c r="U10" s="31">
        <f>2173000*1.19</f>
        <v>2585870</v>
      </c>
      <c r="V10" s="5">
        <f>U10*J10</f>
        <v>783389316.5</v>
      </c>
      <c r="W10" s="30">
        <f t="shared" ref="W10" si="3">AVERAGE(N10,P10,R10,L10,T10,V10)</f>
        <v>799611223.86112452</v>
      </c>
      <c r="X10" s="30">
        <f t="shared" ref="X10" si="4">+_xlfn.STDEV.P(N10,P10,R10,L10,T10,V10)</f>
        <v>348124988.65881252</v>
      </c>
      <c r="Y10" s="30">
        <f t="shared" ref="Y10:Y13" si="5">+W10+X10</f>
        <v>1147736212.519937</v>
      </c>
      <c r="Z10" s="30">
        <f t="shared" ref="Z10:Z13" si="6">W10-X10</f>
        <v>451486235.20231199</v>
      </c>
      <c r="AA10" s="30">
        <f>AVERAGE(N10,R10,T10,V10)</f>
        <v>747979680.16668677</v>
      </c>
    </row>
    <row r="11" spans="1:27">
      <c r="B11" s="2">
        <v>3</v>
      </c>
      <c r="C11" s="46" t="s">
        <v>28</v>
      </c>
      <c r="D11" s="46"/>
      <c r="E11" s="46"/>
      <c r="F11" s="46"/>
      <c r="G11" s="46"/>
      <c r="H11" s="46"/>
      <c r="I11" s="4" t="s">
        <v>27</v>
      </c>
      <c r="J11" s="3">
        <v>91.66</v>
      </c>
      <c r="K11" s="31">
        <f>1557000*1.19</f>
        <v>1852830</v>
      </c>
      <c r="L11" s="5">
        <f>J11*K11</f>
        <v>169830397.79999998</v>
      </c>
      <c r="M11" s="31">
        <v>605115</v>
      </c>
      <c r="N11" s="5">
        <f t="shared" si="0"/>
        <v>55464840.899999999</v>
      </c>
      <c r="O11" s="31">
        <v>797550</v>
      </c>
      <c r="P11" s="5">
        <f t="shared" si="1"/>
        <v>73103433</v>
      </c>
      <c r="Q11" s="31">
        <v>1925491.95</v>
      </c>
      <c r="R11" s="5">
        <f t="shared" si="2"/>
        <v>176490592.13699999</v>
      </c>
      <c r="S11" s="31">
        <f>1616844.861*1.19</f>
        <v>1924045.3845899999</v>
      </c>
      <c r="T11" s="5">
        <f>S11*J11</f>
        <v>176357999.9515194</v>
      </c>
      <c r="U11" s="12">
        <v>0</v>
      </c>
      <c r="V11" s="10">
        <f t="shared" ref="V11:V14" si="7">T11*U11</f>
        <v>0</v>
      </c>
      <c r="W11" s="30">
        <f>AVERAGE(N11,P11,R11,L11,T11)</f>
        <v>130249452.75770387</v>
      </c>
      <c r="X11" s="30">
        <f>+_xlfn.STDEV.P(N11,P11,R11,L11,T11)</f>
        <v>54202025.885969199</v>
      </c>
      <c r="Y11" s="30">
        <f t="shared" si="5"/>
        <v>184451478.64367306</v>
      </c>
      <c r="Z11" s="30">
        <f t="shared" si="6"/>
        <v>76047426.871734679</v>
      </c>
      <c r="AA11" s="30">
        <f>+AVERAGE(L11,R11,T11)</f>
        <v>174226329.96283981</v>
      </c>
    </row>
    <row r="12" spans="1:27">
      <c r="B12" s="2">
        <v>4</v>
      </c>
      <c r="C12" s="46" t="s">
        <v>29</v>
      </c>
      <c r="D12" s="46"/>
      <c r="E12" s="46"/>
      <c r="F12" s="46"/>
      <c r="G12" s="46"/>
      <c r="H12" s="46"/>
      <c r="I12" s="4" t="s">
        <v>25</v>
      </c>
      <c r="J12" s="3">
        <v>38</v>
      </c>
      <c r="K12" s="31">
        <f>138000*1.19</f>
        <v>164220</v>
      </c>
      <c r="L12" s="5">
        <f>J12*K12</f>
        <v>6240360</v>
      </c>
      <c r="M12" s="31">
        <v>145775</v>
      </c>
      <c r="N12" s="5">
        <f t="shared" si="0"/>
        <v>5539450</v>
      </c>
      <c r="O12" s="31">
        <v>52000</v>
      </c>
      <c r="P12" s="5">
        <f t="shared" si="1"/>
        <v>1976000</v>
      </c>
      <c r="Q12" s="31">
        <v>325852.01</v>
      </c>
      <c r="R12" s="5">
        <f t="shared" si="2"/>
        <v>12382376.380000001</v>
      </c>
      <c r="S12" s="12">
        <v>0</v>
      </c>
      <c r="T12" s="10">
        <f t="shared" ref="T12:T14" si="8">R12*S12</f>
        <v>0</v>
      </c>
      <c r="U12" s="12">
        <v>0</v>
      </c>
      <c r="V12" s="10">
        <f t="shared" si="7"/>
        <v>0</v>
      </c>
      <c r="W12" s="30">
        <f>AVERAGE(N12,P12,R12,L12)</f>
        <v>6534546.5950000007</v>
      </c>
      <c r="X12" s="30">
        <f>+_xlfn.STDEV.P(N12,P12,R12,L12)</f>
        <v>3743468.4197672061</v>
      </c>
      <c r="Y12" s="30">
        <f t="shared" si="5"/>
        <v>10278015.014767207</v>
      </c>
      <c r="Z12" s="30">
        <f t="shared" si="6"/>
        <v>2791078.1752327946</v>
      </c>
      <c r="AA12" s="30">
        <f>AVERAGE(L12,N12)</f>
        <v>5889905</v>
      </c>
    </row>
    <row r="13" spans="1:27">
      <c r="B13" s="2">
        <v>5</v>
      </c>
      <c r="C13" s="46" t="s">
        <v>30</v>
      </c>
      <c r="D13" s="46"/>
      <c r="E13" s="46"/>
      <c r="F13" s="46"/>
      <c r="G13" s="46"/>
      <c r="H13" s="46"/>
      <c r="I13" s="4" t="s">
        <v>25</v>
      </c>
      <c r="J13" s="3">
        <v>9</v>
      </c>
      <c r="K13" s="31">
        <f>28000*1.19</f>
        <v>33320</v>
      </c>
      <c r="L13" s="5">
        <f>J13*K13</f>
        <v>299880</v>
      </c>
      <c r="M13" s="31">
        <v>723996</v>
      </c>
      <c r="N13" s="5">
        <f t="shared" si="0"/>
        <v>6515964</v>
      </c>
      <c r="O13" s="31">
        <v>85000</v>
      </c>
      <c r="P13" s="5">
        <f t="shared" si="1"/>
        <v>765000</v>
      </c>
      <c r="Q13" s="31">
        <v>1155294.45</v>
      </c>
      <c r="R13" s="5">
        <f t="shared" si="2"/>
        <v>10397650.049999999</v>
      </c>
      <c r="S13" s="31">
        <f>400000*1.19</f>
        <v>476000</v>
      </c>
      <c r="T13" s="5">
        <f>S13*J13</f>
        <v>4284000</v>
      </c>
      <c r="U13" s="12">
        <v>0</v>
      </c>
      <c r="V13" s="10">
        <f t="shared" si="7"/>
        <v>0</v>
      </c>
      <c r="W13" s="30">
        <f>AVERAGE(N13,P13,R13,L13,T13)</f>
        <v>4452498.8099999996</v>
      </c>
      <c r="X13" s="30">
        <f>+_xlfn.STDEV.P(N13,P13,R13,L13,T13)</f>
        <v>3754277.4047932033</v>
      </c>
      <c r="Y13" s="30">
        <f t="shared" si="5"/>
        <v>8206776.2147932034</v>
      </c>
      <c r="Z13" s="30">
        <f t="shared" si="6"/>
        <v>698221.40520679625</v>
      </c>
      <c r="AA13" s="30">
        <f>AVERAGE(N13,P13,T13)</f>
        <v>3854988</v>
      </c>
    </row>
    <row r="14" spans="1:27" ht="15.75" thickBot="1">
      <c r="B14" s="24">
        <v>6</v>
      </c>
      <c r="C14" s="43" t="s">
        <v>31</v>
      </c>
      <c r="D14" s="44"/>
      <c r="E14" s="44"/>
      <c r="F14" s="44"/>
      <c r="G14" s="44"/>
      <c r="H14" s="45"/>
      <c r="I14" s="25" t="s">
        <v>25</v>
      </c>
      <c r="J14" s="26">
        <v>1</v>
      </c>
      <c r="K14" s="27">
        <v>12458000</v>
      </c>
      <c r="L14" s="28">
        <f>J14*K14*1.19</f>
        <v>14825020</v>
      </c>
      <c r="M14" s="27">
        <v>2873850</v>
      </c>
      <c r="N14" s="28">
        <f t="shared" si="0"/>
        <v>2873850</v>
      </c>
      <c r="O14" s="27">
        <v>1800000</v>
      </c>
      <c r="P14" s="28">
        <f t="shared" si="1"/>
        <v>1800000</v>
      </c>
      <c r="Q14" s="27">
        <v>4228677.32</v>
      </c>
      <c r="R14" s="28">
        <f t="shared" si="2"/>
        <v>4228677.32</v>
      </c>
      <c r="S14" s="27">
        <v>0</v>
      </c>
      <c r="T14" s="28">
        <f t="shared" si="8"/>
        <v>0</v>
      </c>
      <c r="U14" s="27">
        <v>0</v>
      </c>
      <c r="V14" s="28">
        <f t="shared" si="7"/>
        <v>0</v>
      </c>
      <c r="W14" s="14">
        <f>AVERAGE(N14,P14,R14,L14)</f>
        <v>5931886.8300000001</v>
      </c>
      <c r="X14" s="14"/>
      <c r="Y14" s="14"/>
      <c r="Z14" s="14"/>
      <c r="AA14" s="14">
        <f>W14</f>
        <v>5931886.8300000001</v>
      </c>
    </row>
    <row r="15" spans="1:27" ht="16.5" thickBot="1">
      <c r="B15" s="16"/>
      <c r="C15" s="54" t="s">
        <v>32</v>
      </c>
      <c r="D15" s="54"/>
      <c r="E15" s="54"/>
      <c r="F15" s="54"/>
      <c r="G15" s="54"/>
      <c r="H15" s="54"/>
      <c r="I15" s="16"/>
      <c r="J15" s="16"/>
      <c r="K15" s="17"/>
      <c r="L15" s="18">
        <f>SUM(L9:L14)</f>
        <v>1678301470.3</v>
      </c>
      <c r="M15" s="17"/>
      <c r="N15" s="18">
        <f>SUM(N9:N14)</f>
        <v>743154130.54999995</v>
      </c>
      <c r="O15" s="17"/>
      <c r="P15" s="18">
        <f>SUM(P9:P14)</f>
        <v>397181443</v>
      </c>
      <c r="Q15" s="17"/>
      <c r="R15" s="18">
        <f>SUM(R9:R14)</f>
        <v>1020193234.4855</v>
      </c>
      <c r="S15" s="17"/>
      <c r="T15" s="18">
        <f>SUM(T9:T14)</f>
        <v>911749439.86976635</v>
      </c>
      <c r="U15" s="17"/>
      <c r="V15" s="18">
        <f>SUM(V9:V14)</f>
        <v>783389316.5</v>
      </c>
      <c r="W15" s="51"/>
      <c r="X15" s="52"/>
      <c r="Y15" s="52"/>
      <c r="Z15" s="53"/>
      <c r="AA15" s="15">
        <f>SUM(AA9:AA14)</f>
        <v>942404789.95952666</v>
      </c>
    </row>
    <row r="16" spans="1:27" ht="15.75">
      <c r="B16" s="19"/>
      <c r="C16" s="7"/>
      <c r="D16" s="7"/>
      <c r="E16" s="7"/>
      <c r="F16" s="7"/>
      <c r="G16" s="7"/>
      <c r="H16" s="7"/>
      <c r="I16" s="19"/>
      <c r="J16" s="19"/>
      <c r="K16" s="20"/>
      <c r="L16" s="21"/>
      <c r="M16" s="20"/>
      <c r="N16" s="21"/>
      <c r="O16" s="20"/>
      <c r="P16" s="21"/>
      <c r="Q16" s="20"/>
      <c r="R16" s="21"/>
      <c r="S16" s="20"/>
      <c r="T16" s="21"/>
      <c r="U16" s="20"/>
      <c r="V16" s="21"/>
      <c r="W16" s="22"/>
      <c r="X16" s="22"/>
      <c r="Y16" s="22"/>
      <c r="Z16" s="22"/>
      <c r="AA16" s="23"/>
    </row>
    <row r="17" spans="2:3">
      <c r="B17" s="11" t="s">
        <v>33</v>
      </c>
    </row>
    <row r="18" spans="2:3">
      <c r="B18" s="29"/>
      <c r="C18" t="s">
        <v>34</v>
      </c>
    </row>
  </sheetData>
  <mergeCells count="22">
    <mergeCell ref="W7:AA7"/>
    <mergeCell ref="W15:Z15"/>
    <mergeCell ref="C15:H15"/>
    <mergeCell ref="C10:H10"/>
    <mergeCell ref="C11:H11"/>
    <mergeCell ref="C12:H12"/>
    <mergeCell ref="C13:H13"/>
    <mergeCell ref="M7:N7"/>
    <mergeCell ref="O7:P7"/>
    <mergeCell ref="Q7:R7"/>
    <mergeCell ref="S7:T7"/>
    <mergeCell ref="U7:V7"/>
    <mergeCell ref="D2:P2"/>
    <mergeCell ref="D3:P3"/>
    <mergeCell ref="D4:P4"/>
    <mergeCell ref="A2:C5"/>
    <mergeCell ref="C14:H14"/>
    <mergeCell ref="C9:H9"/>
    <mergeCell ref="E5:P5"/>
    <mergeCell ref="C8:H8"/>
    <mergeCell ref="K7:L7"/>
    <mergeCell ref="K6:V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3C1B00577AC4045B881864D5340BD08" ma:contentTypeVersion="6" ma:contentTypeDescription="Crear nuevo documento." ma:contentTypeScope="" ma:versionID="a92a12e315f8cab812d33e3f2c14b26e">
  <xsd:schema xmlns:xsd="http://www.w3.org/2001/XMLSchema" xmlns:xs="http://www.w3.org/2001/XMLSchema" xmlns:p="http://schemas.microsoft.com/office/2006/metadata/properties" xmlns:ns2="e0d85768-5012-49cb-82bb-8306520ae6f2" xmlns:ns3="9dfc8822-dc41-4341-bb31-e11c19bf8a29" targetNamespace="http://schemas.microsoft.com/office/2006/metadata/properties" ma:root="true" ma:fieldsID="304a503aa348519d6f6f4de3917ffcb8" ns2:_="" ns3:_="">
    <xsd:import namespace="e0d85768-5012-49cb-82bb-8306520ae6f2"/>
    <xsd:import namespace="9dfc8822-dc41-4341-bb31-e11c19bf8a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d85768-5012-49cb-82bb-8306520ae6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fc8822-dc41-4341-bb31-e11c19bf8a2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B02563-9187-4A67-BB86-7D94DEC0163B}"/>
</file>

<file path=customXml/itemProps2.xml><?xml version="1.0" encoding="utf-8"?>
<ds:datastoreItem xmlns:ds="http://schemas.openxmlformats.org/officeDocument/2006/customXml" ds:itemID="{906BDD99-2E10-4B4A-952F-217BAA8658D6}"/>
</file>

<file path=customXml/itemProps3.xml><?xml version="1.0" encoding="utf-8"?>
<ds:datastoreItem xmlns:ds="http://schemas.openxmlformats.org/officeDocument/2006/customXml" ds:itemID="{01D3963E-C0CE-46A9-8B66-E8CEDA1534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Milton Leonardo Aranda Vargas</dc:creator>
  <cp:keywords/>
  <dc:description/>
  <cp:lastModifiedBy>Milton Leonardo Aranda Vargas</cp:lastModifiedBy>
  <cp:revision/>
  <dcterms:created xsi:type="dcterms:W3CDTF">2024-01-25T21:03:24Z</dcterms:created>
  <dcterms:modified xsi:type="dcterms:W3CDTF">2024-02-27T16:54:42Z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0x010100F3C1B00577AC4045B881864D5340BD08</vt:lpwstr>
  </property>
</Properties>
</file>