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defaultThemeVersion="124226"/>
  <mc:AlternateContent xmlns:mc="http://schemas.openxmlformats.org/markup-compatibility/2006">
    <mc:Choice Requires="x15">
      <x15ac:absPath xmlns:x15ac="http://schemas.microsoft.com/office/spreadsheetml/2010/11/ac" url="C:\Users\jalm1\Downloads\"/>
    </mc:Choice>
  </mc:AlternateContent>
  <bookViews>
    <workbookView xWindow="0" yWindow="0" windowWidth="23040" windowHeight="8400"/>
  </bookViews>
  <sheets>
    <sheet name="EXPER. GENERAL" sheetId="53" r:id="rId1"/>
    <sheet name="PERSONAL" sheetId="60" r:id="rId2"/>
    <sheet name="CALIFICACION" sheetId="54" r:id="rId3"/>
    <sheet name="CALCULO E, CF, CT, SCE" sheetId="59" state="hidden" r:id="rId4"/>
    <sheet name="CALCULO MÉTODO PONDERACIÓN" sheetId="55" state="hidden" r:id="rId5"/>
    <sheet name="1" sheetId="56" state="hidden" r:id="rId6"/>
  </sheets>
  <externalReferences>
    <externalReference r:id="rId7"/>
  </externalReferences>
  <definedNames>
    <definedName name="_xlnm.Print_Area" localSheetId="2">CALIFICACION!$A$1:$R$33</definedName>
    <definedName name="_xlnm.Print_Area" localSheetId="0">'EXPER. GENERAL'!$A$1:$L$33</definedName>
    <definedName name="_xlnm.Print_Area" localSheetId="1">PERSONAL!$A$1:$Q$36</definedName>
    <definedName name="_xlnm.Print_Titles" localSheetId="2">CALIFICACION!$19:$20</definedName>
    <definedName name="_xlnm.Print_Titles" localSheetId="0">'EXPER. GENERAL'!$20:$21</definedName>
    <definedName name="_xlnm.Print_Titles" localSheetId="1">PERSONAL!$19:$20</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1" i="54" l="1"/>
  <c r="F15" i="53"/>
  <c r="C5" i="54"/>
  <c r="F11" i="60" l="1"/>
  <c r="F10" i="54" l="1"/>
  <c r="B21" i="54" l="1"/>
  <c r="P36" i="60"/>
  <c r="C36" i="60"/>
  <c r="C35" i="60"/>
  <c r="D22" i="60"/>
  <c r="C22" i="60"/>
  <c r="D21" i="60"/>
  <c r="C21" i="60"/>
  <c r="B21" i="60"/>
  <c r="F14" i="60"/>
  <c r="F13" i="60"/>
  <c r="F12" i="60"/>
  <c r="F10" i="60"/>
  <c r="F9" i="60"/>
  <c r="C6" i="60"/>
  <c r="D4" i="60"/>
  <c r="D3" i="60"/>
  <c r="D2" i="60"/>
  <c r="F15" i="60" l="1"/>
  <c r="C23" i="54" l="1"/>
  <c r="C21" i="54"/>
  <c r="F13" i="54" l="1"/>
  <c r="F12" i="54"/>
  <c r="F11" i="54"/>
  <c r="F9" i="54"/>
  <c r="F8" i="54"/>
  <c r="D3" i="54"/>
  <c r="D2" i="54"/>
  <c r="D1" i="54"/>
  <c r="B18" i="59" l="1"/>
  <c r="D438" i="59"/>
  <c r="D437" i="59"/>
  <c r="D436" i="59"/>
  <c r="D435" i="59"/>
  <c r="D434" i="59"/>
  <c r="D424" i="59"/>
  <c r="D421" i="59"/>
  <c r="D414" i="59"/>
  <c r="D413" i="59"/>
  <c r="D412" i="59"/>
  <c r="D411" i="59"/>
  <c r="D409" i="59"/>
  <c r="A408" i="59"/>
  <c r="D401" i="59"/>
  <c r="D400" i="59"/>
  <c r="D399" i="59"/>
  <c r="D398" i="59"/>
  <c r="D397" i="59"/>
  <c r="D396" i="59"/>
  <c r="D395" i="59"/>
  <c r="D394" i="59"/>
  <c r="D393" i="59"/>
  <c r="D392" i="59"/>
  <c r="D377" i="59"/>
  <c r="D374" i="59"/>
  <c r="D367" i="59"/>
  <c r="D366" i="59"/>
  <c r="D365" i="59"/>
  <c r="D364" i="59"/>
  <c r="D363" i="59"/>
  <c r="D362" i="59"/>
  <c r="D361" i="59"/>
  <c r="D360" i="59"/>
  <c r="D359" i="59"/>
  <c r="D358" i="59"/>
  <c r="D357" i="59"/>
  <c r="D356" i="59"/>
  <c r="D355" i="59"/>
  <c r="D354" i="59"/>
  <c r="D353" i="59"/>
  <c r="D352" i="59"/>
  <c r="D351" i="59"/>
  <c r="D350" i="59"/>
  <c r="D349" i="59"/>
  <c r="D348" i="59"/>
  <c r="D347" i="59"/>
  <c r="D346" i="59"/>
  <c r="D344" i="59"/>
  <c r="A343" i="59"/>
  <c r="U166" i="59"/>
  <c r="W166" i="59" s="1"/>
  <c r="L166" i="59"/>
  <c r="N166" i="59" s="1"/>
  <c r="B166" i="59"/>
  <c r="D166" i="59" s="1"/>
  <c r="U165" i="59"/>
  <c r="W165" i="59" s="1"/>
  <c r="L165" i="59"/>
  <c r="N165" i="59" s="1"/>
  <c r="U164" i="59"/>
  <c r="W164" i="59" s="1"/>
  <c r="L164" i="59"/>
  <c r="N164" i="59" s="1"/>
  <c r="B164" i="59"/>
  <c r="D164" i="59" s="1"/>
  <c r="U163" i="59"/>
  <c r="W163" i="59" s="1"/>
  <c r="L163" i="59"/>
  <c r="N163" i="59" s="1"/>
  <c r="B163" i="59"/>
  <c r="D163" i="59" s="1"/>
  <c r="U162" i="59"/>
  <c r="W162" i="59" s="1"/>
  <c r="L162" i="59"/>
  <c r="N162" i="59" s="1"/>
  <c r="U161" i="59"/>
  <c r="W161" i="59" s="1"/>
  <c r="L161" i="59"/>
  <c r="N161" i="59" s="1"/>
  <c r="B161" i="59"/>
  <c r="D161" i="59" s="1"/>
  <c r="U160" i="59"/>
  <c r="W160" i="59" s="1"/>
  <c r="L160" i="59"/>
  <c r="N160" i="59" s="1"/>
  <c r="D160" i="59"/>
  <c r="U159" i="59"/>
  <c r="W159" i="59" s="1"/>
  <c r="L159" i="59"/>
  <c r="N159" i="59" s="1"/>
  <c r="B159" i="59"/>
  <c r="D159" i="59" s="1"/>
  <c r="I154" i="59"/>
  <c r="D154" i="59" s="1"/>
  <c r="B165" i="59" s="1"/>
  <c r="D165" i="59" s="1"/>
  <c r="D151" i="59"/>
  <c r="B162" i="59" s="1"/>
  <c r="D162" i="59" s="1"/>
  <c r="D149" i="59"/>
  <c r="N144" i="59"/>
  <c r="D144" i="59"/>
  <c r="N141" i="59"/>
  <c r="D141" i="59"/>
  <c r="L134" i="59"/>
  <c r="N134" i="59" s="1"/>
  <c r="N135" i="59" s="1"/>
  <c r="B134" i="59"/>
  <c r="D134" i="59" s="1"/>
  <c r="D135" i="59" s="1"/>
  <c r="K131" i="59"/>
  <c r="A129" i="59"/>
  <c r="A131" i="59" s="1"/>
  <c r="D126" i="59"/>
  <c r="D117" i="59"/>
  <c r="D114" i="59"/>
  <c r="D105" i="59"/>
  <c r="D108" i="59" s="1"/>
  <c r="D103" i="59"/>
  <c r="A100" i="59"/>
  <c r="A102" i="59" s="1"/>
  <c r="I92" i="59"/>
  <c r="D92" i="59" s="1"/>
  <c r="B96" i="59" s="1"/>
  <c r="D96" i="59" s="1"/>
  <c r="I91" i="59"/>
  <c r="D91" i="59" s="1"/>
  <c r="B95" i="59" s="1"/>
  <c r="D95" i="59" s="1"/>
  <c r="I90" i="59"/>
  <c r="D90" i="59" s="1"/>
  <c r="B94" i="59" s="1"/>
  <c r="D94" i="59" s="1"/>
  <c r="X89" i="59"/>
  <c r="D86" i="59"/>
  <c r="D83" i="59"/>
  <c r="G76" i="59"/>
  <c r="D76" i="59"/>
  <c r="D77" i="59" s="1"/>
  <c r="D74" i="59"/>
  <c r="A71" i="59"/>
  <c r="A73" i="59" s="1"/>
  <c r="I62" i="59"/>
  <c r="D62" i="59" s="1"/>
  <c r="B67" i="59" s="1"/>
  <c r="D67" i="59" s="1"/>
  <c r="I61" i="59"/>
  <c r="D61" i="59" s="1"/>
  <c r="B66" i="59" s="1"/>
  <c r="D66" i="59" s="1"/>
  <c r="I60" i="59"/>
  <c r="D60" i="59" s="1"/>
  <c r="B65" i="59" s="1"/>
  <c r="D65" i="59" s="1"/>
  <c r="I59" i="59"/>
  <c r="D59" i="59" s="1"/>
  <c r="B64" i="59" s="1"/>
  <c r="D64" i="59" s="1"/>
  <c r="D55" i="59"/>
  <c r="D52" i="59"/>
  <c r="D45" i="59"/>
  <c r="D46" i="59" s="1"/>
  <c r="D43" i="59"/>
  <c r="A40" i="59"/>
  <c r="A42" i="59" s="1"/>
  <c r="B36" i="59"/>
  <c r="D36" i="59" s="1"/>
  <c r="D37" i="59" s="1"/>
  <c r="D30" i="59"/>
  <c r="D27" i="59"/>
  <c r="D18" i="59"/>
  <c r="D19" i="59" s="1"/>
  <c r="D23" i="59" s="1"/>
  <c r="P122" i="59"/>
  <c r="D79" i="59" l="1"/>
  <c r="D80" i="59" s="1"/>
  <c r="D415" i="59"/>
  <c r="D417" i="59" s="1"/>
  <c r="D418" i="59" s="1"/>
  <c r="N137" i="59"/>
  <c r="N138" i="59" s="1"/>
  <c r="N169" i="59"/>
  <c r="D97" i="59"/>
  <c r="D48" i="59"/>
  <c r="D49" i="59" s="1"/>
  <c r="W169" i="59"/>
  <c r="D368" i="59"/>
  <c r="D370" i="59" s="1"/>
  <c r="D371" i="59" s="1"/>
  <c r="D110" i="59"/>
  <c r="D111" i="59" s="1"/>
  <c r="D402" i="59"/>
  <c r="D169" i="59"/>
  <c r="D439" i="59"/>
  <c r="D137" i="59"/>
  <c r="D138" i="59" s="1"/>
  <c r="D68" i="59"/>
  <c r="N121" i="59"/>
  <c r="P121" i="59"/>
  <c r="N122" i="59"/>
  <c r="D24" i="59" l="1"/>
  <c r="F16" i="59" s="1"/>
  <c r="F14" i="54" l="1"/>
  <c r="A13" i="59" l="1"/>
  <c r="A15" i="59" s="1"/>
  <c r="D37" i="56"/>
  <c r="E37" i="56" s="1"/>
  <c r="F37" i="56" l="1"/>
  <c r="H25" i="56"/>
  <c r="E39" i="56"/>
  <c r="D36" i="56"/>
  <c r="E36" i="56" s="1"/>
  <c r="F36" i="56" s="1"/>
  <c r="D35" i="56"/>
  <c r="E35" i="56" s="1"/>
  <c r="F35" i="56" s="1"/>
  <c r="D34" i="56"/>
  <c r="E34" i="56" s="1"/>
  <c r="F34" i="56" s="1"/>
  <c r="D33" i="56"/>
  <c r="E33" i="56" s="1"/>
  <c r="F33" i="56" s="1"/>
  <c r="D32" i="56"/>
  <c r="E32" i="56" s="1"/>
  <c r="F32" i="56" s="1"/>
  <c r="D31" i="56"/>
  <c r="E31" i="56" s="1"/>
  <c r="F31" i="56" s="1"/>
  <c r="D30" i="56"/>
  <c r="E30" i="56" s="1"/>
  <c r="F30" i="56" s="1"/>
  <c r="D29" i="56"/>
  <c r="E29" i="56" s="1"/>
  <c r="F29" i="56" s="1"/>
  <c r="D28" i="56"/>
  <c r="E28" i="56" s="1"/>
  <c r="F28" i="56" s="1"/>
  <c r="D27" i="56"/>
  <c r="E27" i="56" s="1"/>
  <c r="F27" i="56" s="1"/>
  <c r="D26" i="56"/>
  <c r="E26" i="56" s="1"/>
  <c r="F26" i="56" s="1"/>
  <c r="D25" i="56"/>
  <c r="E25" i="56" s="1"/>
  <c r="F25" i="56" s="1"/>
  <c r="D24" i="56"/>
  <c r="E24" i="56" s="1"/>
  <c r="F24" i="56" s="1"/>
  <c r="D23" i="56"/>
  <c r="E23" i="56" s="1"/>
  <c r="F23" i="56" s="1"/>
  <c r="D22" i="56"/>
  <c r="E22" i="56" s="1"/>
  <c r="F22" i="56" s="1"/>
  <c r="D21" i="56"/>
  <c r="E21" i="56" s="1"/>
  <c r="F21" i="56" s="1"/>
  <c r="D20" i="56"/>
  <c r="E20" i="56" s="1"/>
  <c r="F20" i="56" s="1"/>
  <c r="D19" i="56"/>
  <c r="E19" i="56" s="1"/>
  <c r="F19" i="56" s="1"/>
  <c r="D18" i="56"/>
  <c r="E18" i="56" s="1"/>
  <c r="F18" i="56" s="1"/>
  <c r="D17" i="56"/>
  <c r="E17" i="56" s="1"/>
  <c r="F17" i="56" s="1"/>
  <c r="D16" i="56"/>
  <c r="E16" i="56" s="1"/>
  <c r="F16" i="56" s="1"/>
  <c r="D15" i="56"/>
  <c r="E15" i="56" s="1"/>
  <c r="F15" i="56" s="1"/>
  <c r="D14" i="56"/>
  <c r="E14" i="56" s="1"/>
  <c r="F14" i="56" s="1"/>
  <c r="D13" i="56"/>
  <c r="E13" i="56" s="1"/>
  <c r="F13" i="56" s="1"/>
  <c r="D12" i="56"/>
  <c r="E12" i="56" s="1"/>
  <c r="F12" i="56" s="1"/>
  <c r="D11" i="56"/>
  <c r="E11" i="56" s="1"/>
  <c r="F11" i="56" s="1"/>
  <c r="D10" i="56"/>
  <c r="E10" i="56" s="1"/>
  <c r="F10" i="56" s="1"/>
  <c r="D9" i="56"/>
  <c r="E9" i="56" s="1"/>
  <c r="F9" i="56" s="1"/>
  <c r="D8" i="56"/>
  <c r="E8" i="56" s="1"/>
  <c r="F8" i="56" s="1"/>
  <c r="D7" i="56"/>
  <c r="E7" i="56" s="1"/>
  <c r="F7" i="56" s="1"/>
  <c r="D6" i="56"/>
  <c r="E6" i="56" s="1"/>
  <c r="F6" i="56" s="1"/>
  <c r="D5" i="56"/>
  <c r="E5" i="56" s="1"/>
  <c r="F5" i="56" s="1"/>
  <c r="D4" i="56"/>
  <c r="E4" i="56" s="1"/>
  <c r="F4" i="56" s="1"/>
  <c r="D3" i="56"/>
  <c r="E3" i="56" s="1"/>
  <c r="F3" i="56" s="1"/>
  <c r="B3" i="56"/>
  <c r="B4" i="56" s="1"/>
  <c r="B5" i="56" s="1"/>
  <c r="B6" i="56" s="1"/>
  <c r="B7" i="56" s="1"/>
  <c r="B8" i="56" s="1"/>
  <c r="B9" i="56" s="1"/>
  <c r="B10" i="56" s="1"/>
  <c r="B11" i="56" s="1"/>
  <c r="B12" i="56" s="1"/>
  <c r="B13" i="56" s="1"/>
  <c r="B14" i="56" s="1"/>
  <c r="B15" i="56" s="1"/>
  <c r="B16" i="56" s="1"/>
  <c r="B17" i="56" s="1"/>
  <c r="B18" i="56" s="1"/>
  <c r="B19" i="56" s="1"/>
  <c r="B20" i="56" s="1"/>
  <c r="B21" i="56" s="1"/>
  <c r="B22" i="56" s="1"/>
  <c r="B23" i="56" s="1"/>
  <c r="B24" i="56" s="1"/>
  <c r="B25" i="56" s="1"/>
  <c r="B26" i="56" s="1"/>
  <c r="D2" i="56"/>
  <c r="E2" i="56" s="1"/>
  <c r="E38" i="56" l="1"/>
  <c r="F2" i="56"/>
  <c r="B11" i="55" l="1"/>
  <c r="B10" i="55"/>
  <c r="B9" i="55"/>
  <c r="B8" i="55"/>
  <c r="B7" i="55"/>
  <c r="B6" i="55"/>
  <c r="B5" i="55"/>
  <c r="B4" i="55"/>
  <c r="B2" i="55"/>
  <c r="B3" i="55" l="1"/>
  <c r="B12" i="55" s="1"/>
  <c r="B13" i="55" s="1"/>
</calcChain>
</file>

<file path=xl/sharedStrings.xml><?xml version="1.0" encoding="utf-8"?>
<sst xmlns="http://schemas.openxmlformats.org/spreadsheetml/2006/main" count="344" uniqueCount="117">
  <si>
    <t>PROPONENTE</t>
  </si>
  <si>
    <t>No.</t>
  </si>
  <si>
    <t>INTEGRANTES / REPRESENTANTE LEGAL</t>
  </si>
  <si>
    <t>% PARTICIPACIÓN</t>
  </si>
  <si>
    <t>EXPERIENCIA DEL PROPONENTE</t>
  </si>
  <si>
    <t>OBJETO</t>
  </si>
  <si>
    <t>OBSERVACIONES</t>
  </si>
  <si>
    <t>PUNTAJE TOTAL</t>
  </si>
  <si>
    <t>CALIFICACIÓN DE LAS PROPUESTAS</t>
  </si>
  <si>
    <t>VALOR PROMEDIO CONTRATOS</t>
  </si>
  <si>
    <t>VALOR CONTRATO</t>
  </si>
  <si>
    <t>AÑO</t>
  </si>
  <si>
    <t>SALARIO MINIMO</t>
  </si>
  <si>
    <t>SMLMV</t>
  </si>
  <si>
    <t>ACTUAL</t>
  </si>
  <si>
    <t>CUMPLIMIENTO REQUERIMIENTOS TÉCNICOS</t>
  </si>
  <si>
    <t xml:space="preserve">FECHA DE PRESENTACIÓN DE PROPUESTAS: </t>
  </si>
  <si>
    <t>PLAZO DE EJECUCIÓN:</t>
  </si>
  <si>
    <t>PRESUPUESTO TOTAL OFICIAL:</t>
  </si>
  <si>
    <t>PRESUPUESTO OFICIAL SMLMV:</t>
  </si>
  <si>
    <t>Presupuesto oficial SMLMV:</t>
  </si>
  <si>
    <t>Fecha de presentacion de propuestas</t>
  </si>
  <si>
    <t>PARTICIPACION</t>
  </si>
  <si>
    <t>N°</t>
  </si>
  <si>
    <t>VALOR EN SMLMV</t>
  </si>
  <si>
    <t>% PARTICIPACION</t>
  </si>
  <si>
    <t>TOTAL EN SMLMV</t>
  </si>
  <si>
    <t>SUMATORIA</t>
  </si>
  <si>
    <t>FACTOR EXPERIENCIA =</t>
  </si>
  <si>
    <t>E =</t>
  </si>
  <si>
    <t>INDICE DE LIQUIDEZ =</t>
  </si>
  <si>
    <t>CF =</t>
  </si>
  <si>
    <t>NUMERO DE TRABAJADORES =</t>
  </si>
  <si>
    <t>CT =</t>
  </si>
  <si>
    <t>SALDO CONTRATOS EN EJECUCION</t>
  </si>
  <si>
    <t>VALOR</t>
  </si>
  <si>
    <t>PLAZO (MESES)</t>
  </si>
  <si>
    <t>DIAS EJECUTADOS</t>
  </si>
  <si>
    <t>DIAS POR EJECUTAR</t>
  </si>
  <si>
    <t>SCE</t>
  </si>
  <si>
    <t>SUMA SCE</t>
  </si>
  <si>
    <t>CO=</t>
  </si>
  <si>
    <t>CUMPLE</t>
  </si>
  <si>
    <t>REPRESENTANTE LEGAL</t>
  </si>
  <si>
    <t>INTEGRANTES</t>
  </si>
  <si>
    <t>ING. NANCY LILIANA RENGIFO CORTÉS</t>
  </si>
  <si>
    <t>DIRECTOR DE OBRA</t>
  </si>
  <si>
    <t xml:space="preserve"> FORMACIÓN ACADÉMICA Y EXPERIENCIA GENERAL Y ESPECÍFICA MÍNIMA </t>
  </si>
  <si>
    <t>RESIDENTE DE OBRA</t>
  </si>
  <si>
    <t xml:space="preserve">MÉTODO DE PONDERACIÓN </t>
  </si>
  <si>
    <t xml:space="preserve">APOYO A LA INDUSTRIA NACIONAL </t>
  </si>
  <si>
    <t>Valor propuesta corregida</t>
  </si>
  <si>
    <t>INFORME TÉCNICO PRELIMINAR</t>
  </si>
  <si>
    <t>FECHA DE EVALUACIÓN PRELIMINAR:</t>
  </si>
  <si>
    <t>FECHA DE EVALUACIÓN DEFINITIVA:</t>
  </si>
  <si>
    <t>N/A</t>
  </si>
  <si>
    <t>SMMLV 2023:</t>
  </si>
  <si>
    <t>PRECIO TOTAL DE LA PROPUESTA</t>
  </si>
  <si>
    <t>DIRECTOR DE OBRA
(Máx. 10 Puntos)</t>
  </si>
  <si>
    <t>RESIDENTE DE OBRA
(Máx. 10 Puntos)</t>
  </si>
  <si>
    <t>(Máx. 10 puntos)</t>
  </si>
  <si>
    <t xml:space="preserve">EMPREND. O EMPRESAS DE MUJERES </t>
  </si>
  <si>
    <t xml:space="preserve">MIPYMES </t>
  </si>
  <si>
    <t>(Máx. 0,25 puntos)</t>
  </si>
  <si>
    <t xml:space="preserve">VERIFICACIÓN REQUISITOS EQUIPO DE TRABAJO </t>
  </si>
  <si>
    <t>TRATÁNDOSE DE PROPONENTES PLURALES UNO DE LOS INTEGRANTES DEBE APORTAR COMO MÍNIMO EL CINCUENTA POR CIENTO (50 %) DE LA EXPERIENCIA SOLICITADA</t>
  </si>
  <si>
    <r>
      <t xml:space="preserve">NOTA: </t>
    </r>
    <r>
      <rPr>
        <sz val="20"/>
        <color theme="1"/>
        <rFont val="Calibri"/>
        <family val="2"/>
        <scheme val="minor"/>
      </rPr>
      <t xml:space="preserve">De conformidad con el concepto N° C-044 del 24 de marzo de 2020, emitido por la Agencia Colombia Compra Eficiente, en relación con las firmas digitalizadas o impuestas por computador: “… si el documento esta firmado por medio de una imagen, </t>
    </r>
    <r>
      <rPr>
        <b/>
        <u/>
        <sz val="20"/>
        <color theme="1"/>
        <rFont val="Calibri"/>
        <family val="2"/>
        <scheme val="minor"/>
      </rPr>
      <t>será válido únicamente si cumple los requisitos de las firmas electrónicas y digitales, conforme a lo dispuesto en la Ley 527 de 1999</t>
    </r>
    <r>
      <rPr>
        <sz val="20"/>
        <color theme="1"/>
        <rFont val="Calibri"/>
        <family val="2"/>
        <scheme val="minor"/>
      </rPr>
      <t>. De lo contrario, se entenderá que el documento no tiene firma y, por lo tanto, se podrá rechazar la oferta, si la subsanación del documento no se realiza durante el traslado del informe de evaluación.”</t>
    </r>
  </si>
  <si>
    <r>
      <rPr>
        <b/>
        <sz val="20"/>
        <color theme="1"/>
        <rFont val="Calibri"/>
        <family val="2"/>
        <scheme val="minor"/>
      </rPr>
      <t xml:space="preserve">NOTA GENERAL: </t>
    </r>
    <r>
      <rPr>
        <sz val="20"/>
        <color theme="1"/>
        <rFont val="Calibri"/>
        <family val="2"/>
        <scheme val="minor"/>
      </rPr>
      <t xml:space="preserve">SE PRESENTAR EL ESTADO DE RESULTADOS INTEGRAL (ESTADO DE RESULTADO O PÉRDIDA O GANANCIAS) DEL AÑO EN QUE HAYAN OBTENIDO EL MAYOR INGRESO OPERACIONAL EN LOS ÚLTIMOS CINCO (5) AÑOS, </t>
    </r>
    <r>
      <rPr>
        <b/>
        <u/>
        <sz val="20"/>
        <color theme="1"/>
        <rFont val="Calibri"/>
        <family val="2"/>
        <scheme val="minor"/>
      </rPr>
      <t>DEBIDAMENTE FIRMADO POR EL REPRESENTANTE LEGAL Y EL CONTADOR BAJO CUYA RESPONSABILIDAD SE HAN PREPARADO Y, POR EL REVISOR FISCAL O, EN CASO DE NO HABERLO</t>
    </r>
    <r>
      <rPr>
        <sz val="20"/>
        <color theme="1"/>
        <rFont val="Calibri"/>
        <family val="2"/>
        <scheme val="minor"/>
      </rPr>
      <t xml:space="preserve">, POR NO ESTAR OBLIGADO A TENERLO, POR CONTADOR PÚBLICO INDEPENDIENTE, </t>
    </r>
    <r>
      <rPr>
        <b/>
        <u/>
        <sz val="20"/>
        <color theme="1"/>
        <rFont val="Calibri"/>
        <family val="2"/>
        <scheme val="minor"/>
      </rPr>
      <t>ACOMPAÑADOS DE SU DICTAMEN U OPINIÓN, DE CONFORMIDAD CON EL ARTÍCULO 38 DE LA LEY 222 DE 1995.</t>
    </r>
    <r>
      <rPr>
        <sz val="20"/>
        <color theme="1"/>
        <rFont val="Calibri"/>
        <family val="2"/>
        <scheme val="minor"/>
      </rPr>
      <t xml:space="preserve">
"</t>
    </r>
    <r>
      <rPr>
        <b/>
        <u/>
        <sz val="20"/>
        <color theme="1"/>
        <rFont val="Calibri"/>
        <family val="2"/>
        <scheme val="minor"/>
      </rPr>
      <t xml:space="preserve">ART. 38 ESTADOS FINANCIEROS DICTAMINADOS. SON DICTAMINADOS AQUELLOS ESTADOS FINANCIEROS CERTIFICADOS </t>
    </r>
    <r>
      <rPr>
        <sz val="20"/>
        <color theme="1"/>
        <rFont val="Calibri"/>
        <family val="2"/>
        <scheme val="minor"/>
      </rPr>
      <t>QUE SE ACOMPAÑEN DE LA OPINIÓN PROFESIONAL DEL REVISOR FISCAL O, A FALTA DE ÉSTE, DEL CONTADOR PÚBLICO INDEPENDIENTE QUE LOS HUBIERE EXAMINADO DE CONFORMIDAD CON LAS NORMAS DE AUDITORÍA GENERALMENTE ACEPTADAS. ESTOS ESTADOS DEBEN SER SUSCRITOS POR DICHO PROFESIONAL, ANTEPONIENDO LA EXPRESIÓN "VER LA OPINIÓN ADJUNTA" U OTRA SIMILAR. EL SENTIDO Y ALCANCE DE SU FIRMA SERÁ EL QUE SE INDIQUE EN EL DICTAMEN CORRESPONDIENTE"</t>
    </r>
  </si>
  <si>
    <r>
      <rPr>
        <b/>
        <sz val="20"/>
        <color theme="1"/>
        <rFont val="Calibri"/>
        <family val="2"/>
        <scheme val="minor"/>
      </rPr>
      <t xml:space="preserve">NOTA: </t>
    </r>
    <r>
      <rPr>
        <sz val="20"/>
        <color theme="1"/>
        <rFont val="Calibri"/>
        <family val="2"/>
        <scheme val="minor"/>
      </rPr>
      <t xml:space="preserve">De conformidad con el concepto N° C-044 del 24 de marzo de 2020, emitido por la Agencia Colombia Compra Eficiente, en relación con las firmas digitalizadas o impuestas por computador: </t>
    </r>
    <r>
      <rPr>
        <i/>
        <u/>
        <sz val="20"/>
        <color theme="1"/>
        <rFont val="Calibri"/>
        <family val="2"/>
        <scheme val="minor"/>
      </rPr>
      <t>“… si el documento está firmado por medio de una imagen, será válido únicamente si cumple los requisitos de las firmas electrónicas y digitales, conforme a lo dispuesto en la Ley 527 de 1999. De lo contrario, se entenderá que el documento no tiene firma y, por lo tanto, se podrá rechazar la oferta, si la subsanación del documento no se realiza durante el traslado del informe de evaluación.</t>
    </r>
    <r>
      <rPr>
        <sz val="20"/>
        <color theme="1"/>
        <rFont val="Calibri"/>
        <family val="2"/>
        <scheme val="minor"/>
      </rPr>
      <t>”</t>
    </r>
  </si>
  <si>
    <t>Media aritmética alta</t>
  </si>
  <si>
    <t>EL CONTRATISTA SE OBLIGA CON LA EMPRESA SOCIAL DEL ESTADO GUAPI A REALIZAR LA REPOSICIÓN DE LA INFRAESTRUCTURA FISICA DEL HOSPITAL PERTENECIENTE A LA ESE GUAPI DE ACUERDO A LOS REQUERIMIENTOS TECNICOS DESCRITOS EN EL PRESENTE PROCESO DE CONTRATACION”</t>
  </si>
  <si>
    <t>30 meses</t>
  </si>
  <si>
    <t>SMMLV 2024:</t>
  </si>
  <si>
    <t>HOSPITAL GUAPI - EMPRESA SOCIAL DEL ESTADO</t>
  </si>
  <si>
    <t>El proponente deberá acreditar experiencia en la ejecución de contratos así: Un (1) contrato, clasificado en las actividades UNSPSC 26121600, 30102800, 30151800, 40101500, 40151500, 40182000, 46191600, 70131600, 72121400, 72101500, 72152600, 72152700, 72152500, 72153200, 72121400,  72154000, 93131700, 95121700 y 95122000 del clasificador de bienes y servicios, cuyo valor ejecutado expresado en Salarios Mínimos Legales Mensuales Vigentes, sea igual o superior al 70% del presupuesto oficial de la presente contratación expresada en Salarios Mínimos Legales Mensuales Vigentes de la vigencia 2024.
En tratándose de proponentes plurales, cualquiera de los integrantes, podrá aportar el 100% de la experiencia, siempre y cuando su participación dentro de la estructura plural sea igual o superior al cincuenta (50%) por ciento.</t>
  </si>
  <si>
    <t>CONSORCIO HOSPITAL GUAPI 2024</t>
  </si>
  <si>
    <t>CARLOS MANUEL OLARTE MARTINEZ
CC. 18.497.613 de Armenia</t>
  </si>
  <si>
    <t>CARLOS MANUEL OLARTE MARTINEZ</t>
  </si>
  <si>
    <t>CONVOCATORIA PÚBLICA No. 01 DE 2024</t>
  </si>
  <si>
    <t>CONSTRUCTORA NBI S.A. RPL  LINA MARIA LUJAN FEIJOO</t>
  </si>
  <si>
    <r>
      <rPr>
        <b/>
        <sz val="15"/>
        <color theme="1"/>
        <rFont val="Calibri"/>
        <family val="2"/>
        <scheme val="minor"/>
      </rPr>
      <t xml:space="preserve">Contrato: </t>
    </r>
    <r>
      <rPr>
        <sz val="15"/>
        <color theme="1"/>
        <rFont val="Calibri"/>
        <family val="2"/>
        <scheme val="minor"/>
      </rPr>
      <t xml:space="preserve">926
2014
</t>
    </r>
    <r>
      <rPr>
        <b/>
        <sz val="15"/>
        <color theme="1"/>
        <rFont val="Calibri"/>
        <family val="2"/>
        <scheme val="minor"/>
      </rPr>
      <t>Contratante:</t>
    </r>
    <r>
      <rPr>
        <sz val="15"/>
        <color theme="1"/>
        <rFont val="Calibri"/>
        <family val="2"/>
        <scheme val="minor"/>
      </rPr>
      <t xml:space="preserve"> GOBERNACION DEL CAUCA
</t>
    </r>
    <r>
      <rPr>
        <b/>
        <sz val="15"/>
        <color theme="1"/>
        <rFont val="Calibri"/>
        <family val="2"/>
        <scheme val="minor"/>
      </rPr>
      <t>Objeto:</t>
    </r>
    <r>
      <rPr>
        <sz val="15"/>
        <color theme="1"/>
        <rFont val="Calibri"/>
        <family val="2"/>
        <scheme val="minor"/>
      </rPr>
      <t xml:space="preserve"> Construccion de pavimento en Concreto  Hidraulico de los sectores comprendidos en la calle trece y vial al aeropuerto Municipio dee Guapi, departamento del Cauca
</t>
    </r>
    <r>
      <rPr>
        <b/>
        <sz val="15"/>
        <color theme="1"/>
        <rFont val="Calibri"/>
        <family val="2"/>
        <scheme val="minor"/>
      </rPr>
      <t>Consecutivo RUP:</t>
    </r>
    <r>
      <rPr>
        <sz val="15"/>
        <color theme="1"/>
        <rFont val="Calibri"/>
        <family val="2"/>
        <scheme val="minor"/>
      </rPr>
      <t xml:space="preserve"> 27
(</t>
    </r>
    <r>
      <rPr>
        <b/>
        <sz val="15"/>
        <color theme="1"/>
        <rFont val="Calibri"/>
        <family val="2"/>
        <scheme val="minor"/>
      </rPr>
      <t>Consorciado que aporta la experiencia:</t>
    </r>
    <r>
      <rPr>
        <sz val="15"/>
        <color theme="1"/>
        <rFont val="Calibri"/>
        <family val="2"/>
        <scheme val="minor"/>
      </rPr>
      <t xml:space="preserve"> CARLOS MANUEL OLARTE MARTINEZ
</t>
    </r>
    <r>
      <rPr>
        <b/>
        <sz val="15"/>
        <color theme="1"/>
        <rFont val="Calibri"/>
        <family val="2"/>
        <scheme val="minor"/>
      </rPr>
      <t xml:space="preserve">Valor SMMLV </t>
    </r>
    <r>
      <rPr>
        <sz val="15"/>
        <color theme="1"/>
        <rFont val="Calibri"/>
        <family val="2"/>
        <scheme val="minor"/>
      </rPr>
      <t xml:space="preserve">afectado por el % de participacion: 2.010,83
</t>
    </r>
    <r>
      <rPr>
        <b/>
        <sz val="15"/>
        <color theme="1"/>
        <rFont val="Calibri"/>
        <family val="2"/>
        <scheme val="minor"/>
      </rPr>
      <t xml:space="preserve">Participación: </t>
    </r>
    <r>
      <rPr>
        <sz val="15"/>
        <color theme="1"/>
        <rFont val="Calibri"/>
        <family val="2"/>
        <scheme val="minor"/>
      </rPr>
      <t xml:space="preserve">40%
</t>
    </r>
  </si>
  <si>
    <t xml:space="preserve">CONTRATOS APORTADOS
</t>
  </si>
  <si>
    <r>
      <rPr>
        <b/>
        <sz val="15"/>
        <color theme="1"/>
        <rFont val="Calibri"/>
        <family val="2"/>
        <scheme val="minor"/>
      </rPr>
      <t xml:space="preserve">Contrato: </t>
    </r>
    <r>
      <rPr>
        <sz val="15"/>
        <color theme="1"/>
        <rFont val="Calibri"/>
        <family val="2"/>
        <scheme val="minor"/>
      </rPr>
      <t xml:space="preserve">108-2018
</t>
    </r>
    <r>
      <rPr>
        <b/>
        <sz val="15"/>
        <color theme="1"/>
        <rFont val="Calibri"/>
        <family val="2"/>
        <scheme val="minor"/>
      </rPr>
      <t>Contratante:</t>
    </r>
    <r>
      <rPr>
        <sz val="15"/>
        <color theme="1"/>
        <rFont val="Calibri"/>
        <family val="2"/>
        <scheme val="minor"/>
      </rPr>
      <t xml:space="preserve"> FONDO DE DESARROLLO LOCAL DE TUNJUELITO
</t>
    </r>
    <r>
      <rPr>
        <b/>
        <sz val="15"/>
        <color theme="1"/>
        <rFont val="Calibri"/>
        <family val="2"/>
        <scheme val="minor"/>
      </rPr>
      <t>Objeto:</t>
    </r>
    <r>
      <rPr>
        <sz val="15"/>
        <color theme="1"/>
        <rFont val="Calibri"/>
        <family val="2"/>
        <scheme val="minor"/>
      </rPr>
      <t xml:space="preserve"> Realizar por el Sistema de Precios Unitarios fijos sin formula del reajuste La construccion de la Nueva Sede Administrativa de la Alcaldia Local de Tunjuelito en la Ciudad de Bogota
</t>
    </r>
    <r>
      <rPr>
        <b/>
        <sz val="15"/>
        <color theme="1"/>
        <rFont val="Calibri"/>
        <family val="2"/>
        <scheme val="minor"/>
      </rPr>
      <t>Consecutivo RUP:</t>
    </r>
    <r>
      <rPr>
        <sz val="15"/>
        <color theme="1"/>
        <rFont val="Calibri"/>
        <family val="2"/>
        <scheme val="minor"/>
      </rPr>
      <t xml:space="preserve"> 43
(</t>
    </r>
    <r>
      <rPr>
        <b/>
        <sz val="15"/>
        <color theme="1"/>
        <rFont val="Calibri"/>
        <family val="2"/>
        <scheme val="minor"/>
      </rPr>
      <t>Consorciado que aporta la experiencia:</t>
    </r>
    <r>
      <rPr>
        <sz val="15"/>
        <color theme="1"/>
        <rFont val="Calibri"/>
        <family val="2"/>
        <scheme val="minor"/>
      </rPr>
      <t xml:space="preserve"> CARLOS MANUEL OLARTE MARTINEZ
</t>
    </r>
    <r>
      <rPr>
        <b/>
        <sz val="15"/>
        <color theme="1"/>
        <rFont val="Calibri"/>
        <family val="2"/>
        <scheme val="minor"/>
      </rPr>
      <t>Valor SMMLV afectado por el % de participacion:</t>
    </r>
    <r>
      <rPr>
        <sz val="15"/>
        <color theme="1"/>
        <rFont val="Calibri"/>
        <family val="2"/>
        <scheme val="minor"/>
      </rPr>
      <t xml:space="preserve"> 19.799.034  ≥ 19.096,62 SMMLV= 70% del PO
</t>
    </r>
    <r>
      <rPr>
        <b/>
        <sz val="15"/>
        <color theme="1"/>
        <rFont val="Calibri"/>
        <family val="2"/>
        <scheme val="minor"/>
      </rPr>
      <t xml:space="preserve">Participación: </t>
    </r>
    <r>
      <rPr>
        <sz val="15"/>
        <color theme="1"/>
        <rFont val="Calibri"/>
        <family val="2"/>
        <scheme val="minor"/>
      </rPr>
      <t xml:space="preserve">60%
</t>
    </r>
  </si>
  <si>
    <r>
      <rPr>
        <b/>
        <sz val="15"/>
        <color theme="1"/>
        <rFont val="Calibri"/>
        <family val="2"/>
        <scheme val="minor"/>
      </rPr>
      <t xml:space="preserve">Contrato: </t>
    </r>
    <r>
      <rPr>
        <sz val="15"/>
        <color theme="1"/>
        <rFont val="Calibri"/>
        <family val="2"/>
        <scheme val="minor"/>
      </rPr>
      <t xml:space="preserve">002-2010
</t>
    </r>
    <r>
      <rPr>
        <b/>
        <sz val="15"/>
        <color theme="1"/>
        <rFont val="Calibri"/>
        <family val="2"/>
        <scheme val="minor"/>
      </rPr>
      <t>Contratante:</t>
    </r>
    <r>
      <rPr>
        <sz val="15"/>
        <color theme="1"/>
        <rFont val="Calibri"/>
        <family val="2"/>
        <scheme val="minor"/>
      </rPr>
      <t xml:space="preserve"> CEV PROPIEDAD HORIZONTAL
</t>
    </r>
    <r>
      <rPr>
        <b/>
        <sz val="15"/>
        <color theme="1"/>
        <rFont val="Calibri"/>
        <family val="2"/>
        <scheme val="minor"/>
      </rPr>
      <t>Objeto:</t>
    </r>
    <r>
      <rPr>
        <sz val="15"/>
        <color theme="1"/>
        <rFont val="Calibri"/>
        <family val="2"/>
        <scheme val="minor"/>
      </rPr>
      <t xml:space="preserve">Mantenimiento y construccion de unidad de hemodinamia, oncologia, unidad renal, unidad de cuidados intencivos de la cinica
</t>
    </r>
    <r>
      <rPr>
        <b/>
        <sz val="15"/>
        <color theme="1"/>
        <rFont val="Calibri"/>
        <family val="2"/>
        <scheme val="minor"/>
      </rPr>
      <t>Consecutivo RUP:</t>
    </r>
    <r>
      <rPr>
        <sz val="15"/>
        <color theme="1"/>
        <rFont val="Calibri"/>
        <family val="2"/>
        <scheme val="minor"/>
      </rPr>
      <t xml:space="preserve"> 10
(</t>
    </r>
    <r>
      <rPr>
        <b/>
        <sz val="15"/>
        <color theme="1"/>
        <rFont val="Calibri"/>
        <family val="2"/>
        <scheme val="minor"/>
      </rPr>
      <t>Consorciado que aporta la experiencia:</t>
    </r>
    <r>
      <rPr>
        <sz val="15"/>
        <color theme="1"/>
        <rFont val="Calibri"/>
        <family val="2"/>
        <scheme val="minor"/>
      </rPr>
      <t xml:space="preserve"> CARLOS MANUEL OLARTE MARTINEZ
</t>
    </r>
    <r>
      <rPr>
        <b/>
        <sz val="15"/>
        <color theme="1"/>
        <rFont val="Calibri"/>
        <family val="2"/>
        <scheme val="minor"/>
      </rPr>
      <t>Valor SMMLV:</t>
    </r>
    <r>
      <rPr>
        <sz val="15"/>
        <color theme="1"/>
        <rFont val="Calibri"/>
        <family val="2"/>
        <scheme val="minor"/>
      </rPr>
      <t xml:space="preserve"> 84.390,76 ≥ 27275.17 SMMLV= 100% del PO
</t>
    </r>
    <r>
      <rPr>
        <b/>
        <sz val="15"/>
        <color theme="1"/>
        <rFont val="Calibri"/>
        <family val="2"/>
        <scheme val="minor"/>
      </rPr>
      <t xml:space="preserve">Participación: </t>
    </r>
    <r>
      <rPr>
        <sz val="15"/>
        <color theme="1"/>
        <rFont val="Calibri"/>
        <family val="2"/>
        <scheme val="minor"/>
      </rPr>
      <t xml:space="preserve">100%
</t>
    </r>
  </si>
  <si>
    <t>EXPERIENCIA ESPECIFICA                          INFORMACIÓN 
CONTRATO No.1 /, 
VALOR EN SMMLV                             ∑ ≥ 27275.17 SMMLV= 100% del PO                                             Vigencia 
de la NSR10, es decir a partir del 15 de julio de 2010.</t>
  </si>
  <si>
    <t xml:space="preserve"> Haber ejecutado ítem de obra de Concreto para cimentación en un volumen mínimo de mil  metros cúbicos (1000 M3),                                                                          
 Haber ejecutado ítem de obra de pilotes en concreto como mínimo un longitud de 2500 ml
Que haya utilizado en su estructura un mínimo de Acero de refuerzo (60000 psi o 420 MPA) doscientos mil kilos (200.000 Kg) y un mínimo de Acero estructural o estructura metálica de cincuenta mil kilos (50.000 Kg). 
 Suministro e instalación de ascensor y red de gases medicinales. 
Sistema de aire acondicionado  
Sistema de red contra incendios</t>
  </si>
  <si>
    <t>EXPERIENCIA ESPECIFICA                                  INFORMACIÓN 
CONTRATO No.2 / 
VALOR EN SMMLV</t>
  </si>
  <si>
    <r>
      <t>26121600,30102800,30151800,40101500,40151500,40182000,46191600,70131600,</t>
    </r>
    <r>
      <rPr>
        <sz val="15"/>
        <rFont val="Calibri"/>
        <family val="2"/>
        <scheme val="minor"/>
      </rPr>
      <t>72121400</t>
    </r>
    <r>
      <rPr>
        <sz val="15"/>
        <color theme="1"/>
        <rFont val="Calibri"/>
        <family val="2"/>
        <scheme val="minor"/>
      </rPr>
      <t xml:space="preserve">,72101500,72152600,72152700,72152500,72153200,72121400,72154000,93131700,95121700 y 95122000    </t>
    </r>
  </si>
  <si>
    <t xml:space="preserve">Deberá acreditar haber ejecutado un contrato de obra civil que haya contemplado como alcance, el transporte fluvial y/o marítimo para el suministro 
de equipos y materiales. </t>
  </si>
  <si>
    <t xml:space="preserve"> HÁBIL</t>
  </si>
  <si>
    <r>
      <t xml:space="preserve">El consorciado </t>
    </r>
    <r>
      <rPr>
        <b/>
        <sz val="15"/>
        <color theme="1"/>
        <rFont val="Calibri"/>
        <family val="2"/>
        <scheme val="minor"/>
      </rPr>
      <t>CARLOS MANUEL OLARTE MARTINEZ</t>
    </r>
    <r>
      <rPr>
        <sz val="15"/>
        <color theme="1"/>
        <rFont val="Calibri"/>
        <family val="2"/>
        <scheme val="minor"/>
      </rPr>
      <t xml:space="preserve"> aporta el</t>
    </r>
    <r>
      <rPr>
        <b/>
        <sz val="15"/>
        <color theme="1"/>
        <rFont val="Calibri"/>
        <family val="2"/>
        <scheme val="minor"/>
      </rPr>
      <t xml:space="preserve"> 100% </t>
    </r>
    <r>
      <rPr>
        <sz val="15"/>
        <color theme="1"/>
        <rFont val="Calibri"/>
        <family val="2"/>
        <scheme val="minor"/>
      </rPr>
      <t>de la experiencia requerida en el proceso.</t>
    </r>
  </si>
  <si>
    <t xml:space="preserve">CUMPLE
</t>
  </si>
  <si>
    <t>EXPERIENCIA GENERAL                                                           INFORMACIÓN 
CONTRATO No.3 /clasificado en las actividades UNSPSC, 
VALOR EN SMMLV                ∑ ≥ 19096,62 SMMLV= 70% del PO                                             Vigencia 
de la NSR10, es decir a partir del 15 de julio de 2010.</t>
  </si>
  <si>
    <t xml:space="preserve">CAPACIDAD RESIDUAL 
&gt;= 60% PO
</t>
  </si>
  <si>
    <t>LUIS FERNANDO HERNÁNDEZ SÁNCHEZ</t>
  </si>
  <si>
    <t>INGENIERO MECANICO</t>
  </si>
  <si>
    <t>ALVARO GABRIEL AREVALO BERNAL</t>
  </si>
  <si>
    <t>EQUIPO DE TRABAJO
Máx. 29.75 PUNTOS</t>
  </si>
  <si>
    <t>INGENIERO MECANICO
(Máx. 9.75 Puntos)</t>
  </si>
  <si>
    <t>ANÁLISIS DE RENDIMIENTOS POR ITEM (ARPI)</t>
  </si>
  <si>
    <t>PROGRAMA DE EJECUCION MENSUAL (ANEXO 12 PEM)</t>
  </si>
  <si>
    <t>VINCULACIÓN DE PERSONAS CON DISCAPACIDAD</t>
  </si>
  <si>
    <t>CUADRO DE RENDIMIENTOS Y CÁLCULO DE DURACIÓN DE ACTIVIDADES.</t>
  </si>
  <si>
    <t>DEL EXAMEN Y DE LA EVALUACIÓN DE LA PROPUESTA TECNICA O PROGRAMACION DE LA OBRA.</t>
  </si>
  <si>
    <t>HABILITADO</t>
  </si>
  <si>
    <t>Máx. 35 Puntos</t>
  </si>
  <si>
    <t>PROGRAMACIÓN Y CONOCIMIENTO DE OBRA</t>
  </si>
  <si>
    <t>TRM VIGENTE 26-03-2024</t>
  </si>
  <si>
    <t>ALEXANDER MARTINEZ CASTRO</t>
  </si>
  <si>
    <t>HERNAN RIVERA CHAVEZ</t>
  </si>
  <si>
    <t>ESPECIALISTA ESTRUCTURAL</t>
  </si>
  <si>
    <t>INGENIERO ELECTRICISTA</t>
  </si>
  <si>
    <t xml:space="preserve"> MIGUEL ANTONIO PEÑA TOLOSA</t>
  </si>
  <si>
    <t>INSPECTOR DE OBRA</t>
  </si>
  <si>
    <t>JUAN PABLO RUIZ QUIÑONEZ</t>
  </si>
  <si>
    <t>C.C 10303447 DE POPAYAN</t>
  </si>
  <si>
    <t>ING CIVIL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</si>
</sst>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3" formatCode="_-* #,##0.00_-;\-* #,##0.00_-;_-* &quot;-&quot;??_-;_-@_-"/>
    <numFmt numFmtId="164" formatCode="_(&quot;$&quot;\ * #,##0.00_);_(&quot;$&quot;\ * \(#,##0.00\);_(&quot;$&quot;\ * &quot;-&quot;??_);_(@_)"/>
    <numFmt numFmtId="165" formatCode="_-* #,##0.00\ _€_-;\-* #,##0.00\ _€_-;_-* &quot;-&quot;??\ _€_-;_-@_-"/>
    <numFmt numFmtId="166" formatCode="_(&quot;$&quot;\ * #,##0_);_(&quot;$&quot;\ * \(#,##0\);_(&quot;$&quot;\ * &quot;-&quot;??_);_(@_)"/>
    <numFmt numFmtId="167" formatCode="_(* #,##0.00_);_(* \(#,##0.00\);_(* &quot;-&quot;??_);_(@_)"/>
    <numFmt numFmtId="168" formatCode="&quot;$&quot;\ #,##0"/>
    <numFmt numFmtId="169" formatCode="_(* #,##0_);_(* \(#,##0\);_(* &quot;-&quot;??_);_(@_)"/>
    <numFmt numFmtId="170" formatCode="yyyy\-mm\-dd;@"/>
    <numFmt numFmtId="171" formatCode="_-&quot;$&quot;\ * #,##0.00_-;\-&quot;$&quot;\ * #,##0.00_-;_-&quot;$&quot;\ * &quot;-&quot;_-;_-@_-"/>
    <numFmt numFmtId="172" formatCode="_-&quot;$&quot;\ * #,##0_-;\-&quot;$&quot;\ * #,##0_-;_-&quot;$&quot;\ * &quot;-&quot;??_-;_-@_-"/>
  </numFmts>
  <fonts count="40" x14ac:knownFonts="1">
    <font>
      <sz val="11"/>
      <color theme="1"/>
      <name val="Calibri"/>
      <family val="2"/>
      <scheme val="minor"/>
    </font>
    <font>
      <b/>
      <sz val="14"/>
      <color theme="1"/>
      <name val="Calibri"/>
      <family val="2"/>
      <scheme val="minor"/>
    </font>
    <font>
      <sz val="11"/>
      <color indexed="8"/>
      <name val="Calibri"/>
      <family val="2"/>
    </font>
    <font>
      <sz val="11"/>
      <color theme="1"/>
      <name val="Calibri"/>
      <family val="2"/>
      <scheme val="minor"/>
    </font>
    <font>
      <b/>
      <sz val="11"/>
      <color theme="1"/>
      <name val="Calibri"/>
      <family val="2"/>
      <scheme val="minor"/>
    </font>
    <font>
      <b/>
      <sz val="9"/>
      <color theme="1"/>
      <name val="Calibri"/>
      <family val="2"/>
      <scheme val="minor"/>
    </font>
    <font>
      <sz val="9"/>
      <color theme="1"/>
      <name val="Arial"/>
      <family val="2"/>
    </font>
    <font>
      <b/>
      <sz val="9"/>
      <color theme="1"/>
      <name val="Arial"/>
      <family val="2"/>
    </font>
    <font>
      <sz val="11"/>
      <color theme="0"/>
      <name val="Calibri"/>
      <family val="2"/>
      <scheme val="minor"/>
    </font>
    <font>
      <b/>
      <sz val="18"/>
      <color theme="0"/>
      <name val="Calibri"/>
      <family val="2"/>
      <scheme val="minor"/>
    </font>
    <font>
      <b/>
      <sz val="11"/>
      <color indexed="8"/>
      <name val="Calibri"/>
      <family val="2"/>
    </font>
    <font>
      <b/>
      <sz val="16"/>
      <color theme="1"/>
      <name val="Calibri"/>
      <family val="2"/>
      <scheme val="minor"/>
    </font>
    <font>
      <sz val="14"/>
      <color theme="1"/>
      <name val="Calibri"/>
      <family val="2"/>
      <scheme val="minor"/>
    </font>
    <font>
      <sz val="14"/>
      <color theme="1"/>
      <name val="Arial"/>
      <family val="2"/>
    </font>
    <font>
      <b/>
      <sz val="14"/>
      <color theme="0"/>
      <name val="Calibri"/>
      <family val="2"/>
      <scheme val="minor"/>
    </font>
    <font>
      <sz val="14"/>
      <color theme="0"/>
      <name val="Calibri"/>
      <family val="2"/>
      <scheme val="minor"/>
    </font>
    <font>
      <b/>
      <sz val="15"/>
      <color theme="1"/>
      <name val="Calibri"/>
      <family val="2"/>
      <scheme val="minor"/>
    </font>
    <font>
      <sz val="16"/>
      <color theme="1"/>
      <name val="Calibri"/>
      <family val="2"/>
      <scheme val="minor"/>
    </font>
    <font>
      <sz val="15"/>
      <color theme="1"/>
      <name val="Calibri"/>
      <family val="2"/>
      <scheme val="minor"/>
    </font>
    <font>
      <b/>
      <sz val="18"/>
      <color theme="1"/>
      <name val="Calibri"/>
      <family val="2"/>
      <scheme val="minor"/>
    </font>
    <font>
      <sz val="18"/>
      <color theme="1"/>
      <name val="Calibri"/>
      <family val="2"/>
      <scheme val="minor"/>
    </font>
    <font>
      <b/>
      <sz val="11"/>
      <name val="Calibri"/>
      <family val="2"/>
      <scheme val="minor"/>
    </font>
    <font>
      <sz val="11"/>
      <name val="Calibri"/>
      <family val="2"/>
      <scheme val="minor"/>
    </font>
    <font>
      <b/>
      <sz val="11"/>
      <color rgb="FFFF0000"/>
      <name val="Calibri"/>
      <family val="2"/>
      <scheme val="minor"/>
    </font>
    <font>
      <sz val="20"/>
      <color rgb="FFFF0000"/>
      <name val="Arial"/>
      <family val="2"/>
    </font>
    <font>
      <sz val="15"/>
      <name val="Calibri"/>
      <family val="2"/>
      <scheme val="minor"/>
    </font>
    <font>
      <b/>
      <sz val="15"/>
      <name val="Calibri"/>
      <family val="2"/>
      <scheme val="minor"/>
    </font>
    <font>
      <b/>
      <sz val="22"/>
      <color theme="1"/>
      <name val="Calibri"/>
      <family val="2"/>
      <scheme val="minor"/>
    </font>
    <font>
      <sz val="22"/>
      <name val="Calibri"/>
      <family val="2"/>
      <scheme val="minor"/>
    </font>
    <font>
      <sz val="16"/>
      <name val="Calibri"/>
      <family val="2"/>
      <scheme val="minor"/>
    </font>
    <font>
      <b/>
      <sz val="18"/>
      <name val="Calibri"/>
      <family val="2"/>
      <scheme val="minor"/>
    </font>
    <font>
      <b/>
      <sz val="20"/>
      <color theme="1"/>
      <name val="Calibri"/>
      <family val="2"/>
      <scheme val="minor"/>
    </font>
    <font>
      <sz val="20"/>
      <color theme="1"/>
      <name val="Calibri"/>
      <family val="2"/>
      <scheme val="minor"/>
    </font>
    <font>
      <b/>
      <u/>
      <sz val="20"/>
      <color theme="1"/>
      <name val="Calibri"/>
      <family val="2"/>
      <scheme val="minor"/>
    </font>
    <font>
      <b/>
      <sz val="24"/>
      <color theme="1"/>
      <name val="Calibri"/>
      <family val="2"/>
      <scheme val="minor"/>
    </font>
    <font>
      <sz val="24"/>
      <name val="Calibri"/>
      <family val="2"/>
      <scheme val="minor"/>
    </font>
    <font>
      <sz val="22"/>
      <color theme="1"/>
      <name val="Calibri"/>
      <family val="2"/>
      <scheme val="minor"/>
    </font>
    <font>
      <b/>
      <sz val="19"/>
      <color theme="1"/>
      <name val="Calibri"/>
      <family val="2"/>
      <scheme val="minor"/>
    </font>
    <font>
      <b/>
      <sz val="19"/>
      <name val="Calibri"/>
      <family val="2"/>
      <scheme val="minor"/>
    </font>
    <font>
      <i/>
      <u/>
      <sz val="20"/>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rgb="FF92D050"/>
        <bgColor indexed="64"/>
      </patternFill>
    </fill>
    <fill>
      <patternFill patternType="solid">
        <fgColor theme="4" tint="0.59999389629810485"/>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auto="1"/>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style="medium">
        <color indexed="64"/>
      </right>
      <top/>
      <bottom style="thin">
        <color auto="1"/>
      </bottom>
      <diagonal/>
    </border>
    <border>
      <left style="thin">
        <color auto="1"/>
      </left>
      <right style="thin">
        <color auto="1"/>
      </right>
      <top/>
      <bottom style="thin">
        <color auto="1"/>
      </bottom>
      <diagonal/>
    </border>
    <border>
      <left style="medium">
        <color indexed="64"/>
      </left>
      <right style="medium">
        <color indexed="64"/>
      </right>
      <top style="thin">
        <color auto="1"/>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auto="1"/>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thin">
        <color auto="1"/>
      </top>
      <bottom/>
      <diagonal/>
    </border>
  </borders>
  <cellStyleXfs count="46">
    <xf numFmtId="0" fontId="0" fillId="0" borderId="0"/>
    <xf numFmtId="165" fontId="2"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2" fontId="3" fillId="0" borderId="0" applyFont="0" applyFill="0" applyBorder="0" applyAlignment="0" applyProtection="0"/>
  </cellStyleXfs>
  <cellXfs count="318">
    <xf numFmtId="0" fontId="0" fillId="0" borderId="0" xfId="0"/>
    <xf numFmtId="0" fontId="6" fillId="0" borderId="0" xfId="0" applyFont="1"/>
    <xf numFmtId="0" fontId="0" fillId="0" borderId="0" xfId="0"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164" fontId="0" fillId="0" borderId="0" xfId="2" applyFont="1"/>
    <xf numFmtId="0" fontId="10" fillId="0" borderId="1" xfId="0" applyFont="1" applyBorder="1" applyAlignment="1">
      <alignment horizontal="center" vertical="center" wrapText="1"/>
    </xf>
    <xf numFmtId="4" fontId="10" fillId="0" borderId="1" xfId="0" applyNumberFormat="1" applyFont="1" applyBorder="1" applyAlignment="1">
      <alignment horizontal="center" vertical="center" wrapText="1"/>
    </xf>
    <xf numFmtId="4" fontId="0" fillId="0" borderId="1" xfId="0" applyNumberFormat="1" applyBorder="1"/>
    <xf numFmtId="0" fontId="0" fillId="0" borderId="1" xfId="0" applyBorder="1"/>
    <xf numFmtId="4" fontId="2" fillId="0" borderId="1" xfId="1" applyNumberFormat="1" applyFont="1" applyBorder="1"/>
    <xf numFmtId="4" fontId="4" fillId="0" borderId="1" xfId="0" applyNumberFormat="1" applyFont="1" applyBorder="1"/>
    <xf numFmtId="168" fontId="1" fillId="2" borderId="20" xfId="0" applyNumberFormat="1" applyFont="1" applyFill="1" applyBorder="1" applyAlignment="1">
      <alignment horizontal="center" vertical="center"/>
    </xf>
    <xf numFmtId="0" fontId="12" fillId="0" borderId="0" xfId="0" applyFont="1" applyAlignment="1">
      <alignment horizontal="center" vertical="center" wrapText="1"/>
    </xf>
    <xf numFmtId="0" fontId="20" fillId="0" borderId="0" xfId="0" applyFont="1" applyAlignment="1">
      <alignment horizontal="center" vertical="center" wrapText="1"/>
    </xf>
    <xf numFmtId="166" fontId="12" fillId="0" borderId="0" xfId="2" applyNumberFormat="1" applyFont="1" applyFill="1" applyBorder="1" applyAlignment="1">
      <alignment horizontal="center" vertical="center" wrapText="1"/>
    </xf>
    <xf numFmtId="167" fontId="4" fillId="2" borderId="3" xfId="0" applyNumberFormat="1" applyFont="1" applyFill="1" applyBorder="1" applyAlignment="1">
      <alignment wrapText="1"/>
    </xf>
    <xf numFmtId="0" fontId="0" fillId="0" borderId="0" xfId="0" applyAlignment="1">
      <alignment wrapText="1"/>
    </xf>
    <xf numFmtId="14" fontId="4" fillId="2" borderId="3" xfId="0" applyNumberFormat="1" applyFont="1" applyFill="1" applyBorder="1" applyAlignment="1">
      <alignment wrapText="1"/>
    </xf>
    <xf numFmtId="9" fontId="4" fillId="0" borderId="1" xfId="3" applyFont="1" applyBorder="1" applyAlignment="1">
      <alignment horizontal="center" wrapText="1"/>
    </xf>
    <xf numFmtId="9" fontId="4" fillId="0" borderId="0" xfId="3" applyFont="1" applyFill="1" applyBorder="1" applyAlignment="1">
      <alignment horizontal="center" wrapText="1"/>
    </xf>
    <xf numFmtId="167" fontId="4" fillId="0" borderId="1" xfId="4" applyFont="1" applyBorder="1" applyAlignment="1">
      <alignment wrapText="1"/>
    </xf>
    <xf numFmtId="0" fontId="4" fillId="0" borderId="1" xfId="0" applyFont="1" applyBorder="1" applyAlignment="1">
      <alignment wrapText="1"/>
    </xf>
    <xf numFmtId="167" fontId="4" fillId="0" borderId="0" xfId="4" applyFont="1" applyFill="1" applyBorder="1" applyAlignment="1">
      <alignment wrapText="1"/>
    </xf>
    <xf numFmtId="0" fontId="4" fillId="0" borderId="0" xfId="0" applyFont="1" applyAlignment="1">
      <alignment wrapText="1"/>
    </xf>
    <xf numFmtId="169" fontId="0" fillId="0" borderId="1" xfId="4" applyNumberFormat="1" applyFont="1" applyBorder="1" applyAlignment="1">
      <alignment wrapText="1"/>
    </xf>
    <xf numFmtId="167" fontId="0" fillId="0" borderId="1" xfId="4" applyFont="1" applyBorder="1" applyAlignment="1">
      <alignment wrapText="1"/>
    </xf>
    <xf numFmtId="10" fontId="0" fillId="0" borderId="1" xfId="3" applyNumberFormat="1" applyFont="1" applyBorder="1" applyAlignment="1">
      <alignment wrapText="1"/>
    </xf>
    <xf numFmtId="169" fontId="0" fillId="0" borderId="0" xfId="4" applyNumberFormat="1" applyFont="1" applyFill="1" applyBorder="1" applyAlignment="1">
      <alignment horizontal="right" wrapText="1"/>
    </xf>
    <xf numFmtId="167" fontId="0" fillId="0" borderId="0" xfId="4" applyFont="1" applyFill="1" applyBorder="1" applyAlignment="1">
      <alignment wrapText="1"/>
    </xf>
    <xf numFmtId="10" fontId="0" fillId="0" borderId="0" xfId="3" applyNumberFormat="1" applyFont="1" applyFill="1" applyBorder="1" applyAlignment="1">
      <alignment wrapText="1"/>
    </xf>
    <xf numFmtId="169" fontId="0" fillId="0" borderId="0" xfId="4" applyNumberFormat="1" applyFont="1" applyFill="1" applyBorder="1" applyAlignment="1">
      <alignment wrapText="1"/>
    </xf>
    <xf numFmtId="167" fontId="0" fillId="0" borderId="0" xfId="4" applyFont="1" applyAlignment="1">
      <alignment wrapText="1"/>
    </xf>
    <xf numFmtId="167" fontId="4" fillId="0" borderId="1" xfId="4" applyFont="1" applyFill="1" applyBorder="1" applyAlignment="1">
      <alignment wrapText="1"/>
    </xf>
    <xf numFmtId="167" fontId="0" fillId="0" borderId="0" xfId="4" applyFont="1" applyAlignment="1">
      <alignment horizontal="right" wrapText="1"/>
    </xf>
    <xf numFmtId="0" fontId="4" fillId="0" borderId="1" xfId="0" applyFont="1" applyBorder="1" applyAlignment="1">
      <alignment horizontal="right" wrapText="1"/>
    </xf>
    <xf numFmtId="167" fontId="21" fillId="4" borderId="1" xfId="4" applyFont="1" applyFill="1" applyBorder="1" applyAlignment="1">
      <alignment wrapText="1"/>
    </xf>
    <xf numFmtId="167" fontId="0" fillId="0" borderId="0" xfId="4" applyFont="1" applyFill="1" applyBorder="1" applyAlignment="1">
      <alignment horizontal="right" wrapText="1"/>
    </xf>
    <xf numFmtId="0" fontId="4" fillId="0" borderId="0" xfId="0" applyFont="1" applyAlignment="1">
      <alignment horizontal="right" wrapText="1"/>
    </xf>
    <xf numFmtId="167" fontId="21" fillId="0" borderId="0" xfId="4" applyFont="1" applyFill="1" applyBorder="1" applyAlignment="1">
      <alignment wrapText="1"/>
    </xf>
    <xf numFmtId="167" fontId="4" fillId="4" borderId="1" xfId="4" applyFont="1" applyFill="1" applyBorder="1" applyAlignment="1">
      <alignment wrapText="1"/>
    </xf>
    <xf numFmtId="0" fontId="0" fillId="0" borderId="1" xfId="0" applyBorder="1" applyAlignment="1">
      <alignment horizontal="center" wrapText="1"/>
    </xf>
    <xf numFmtId="0" fontId="0" fillId="0" borderId="0" xfId="0" applyAlignment="1">
      <alignment horizontal="center" wrapText="1"/>
    </xf>
    <xf numFmtId="0" fontId="0" fillId="0" borderId="1" xfId="0" applyBorder="1" applyAlignment="1">
      <alignment wrapText="1"/>
    </xf>
    <xf numFmtId="164" fontId="0" fillId="0" borderId="1" xfId="2" applyFont="1" applyBorder="1" applyAlignment="1">
      <alignment wrapText="1"/>
    </xf>
    <xf numFmtId="167" fontId="22" fillId="0" borderId="1" xfId="4" applyFont="1" applyBorder="1" applyAlignment="1">
      <alignment wrapText="1"/>
    </xf>
    <xf numFmtId="14" fontId="0" fillId="0" borderId="0" xfId="0" applyNumberFormat="1" applyAlignment="1">
      <alignment wrapText="1"/>
    </xf>
    <xf numFmtId="14" fontId="0" fillId="0" borderId="0" xfId="0" applyNumberFormat="1" applyAlignment="1">
      <alignment horizontal="center" wrapText="1"/>
    </xf>
    <xf numFmtId="167" fontId="21" fillId="4" borderId="1" xfId="0" applyNumberFormat="1" applyFont="1" applyFill="1" applyBorder="1" applyAlignment="1">
      <alignment wrapText="1"/>
    </xf>
    <xf numFmtId="167" fontId="21" fillId="0" borderId="0" xfId="0" applyNumberFormat="1" applyFont="1" applyAlignment="1">
      <alignment wrapText="1"/>
    </xf>
    <xf numFmtId="167" fontId="4" fillId="0" borderId="0" xfId="4" applyFont="1" applyBorder="1" applyAlignment="1">
      <alignment wrapText="1"/>
    </xf>
    <xf numFmtId="9" fontId="4" fillId="0" borderId="0" xfId="3" applyFont="1" applyBorder="1" applyAlignment="1">
      <alignment horizontal="center" wrapText="1"/>
    </xf>
    <xf numFmtId="169" fontId="0" fillId="0" borderId="1" xfId="4" applyNumberFormat="1" applyFont="1" applyBorder="1" applyAlignment="1">
      <alignment horizontal="right" wrapText="1"/>
    </xf>
    <xf numFmtId="169" fontId="0" fillId="0" borderId="0" xfId="4" applyNumberFormat="1" applyFont="1" applyBorder="1" applyAlignment="1">
      <alignment horizontal="right" wrapText="1"/>
    </xf>
    <xf numFmtId="167" fontId="0" fillId="0" borderId="0" xfId="4" applyFont="1" applyBorder="1" applyAlignment="1">
      <alignment wrapText="1"/>
    </xf>
    <xf numFmtId="10" fontId="0" fillId="0" borderId="0" xfId="3" applyNumberFormat="1" applyFont="1" applyBorder="1" applyAlignment="1">
      <alignment wrapText="1"/>
    </xf>
    <xf numFmtId="167" fontId="0" fillId="0" borderId="0" xfId="4" applyFont="1" applyBorder="1" applyAlignment="1">
      <alignment horizontal="right" wrapText="1"/>
    </xf>
    <xf numFmtId="167" fontId="22" fillId="0" borderId="0" xfId="4" applyFont="1" applyAlignment="1">
      <alignment wrapText="1"/>
    </xf>
    <xf numFmtId="167" fontId="0" fillId="0" borderId="1" xfId="0" applyNumberFormat="1" applyBorder="1" applyAlignment="1">
      <alignment horizontal="center" wrapText="1"/>
    </xf>
    <xf numFmtId="167" fontId="3" fillId="0" borderId="0" xfId="4" applyFont="1" applyBorder="1" applyAlignment="1">
      <alignment horizontal="center" wrapText="1"/>
    </xf>
    <xf numFmtId="0" fontId="22" fillId="0" borderId="1" xfId="0" applyFont="1" applyBorder="1" applyAlignment="1">
      <alignment horizontal="center" wrapText="1"/>
    </xf>
    <xf numFmtId="9" fontId="0" fillId="0" borderId="1" xfId="3" applyFont="1" applyBorder="1" applyAlignment="1">
      <alignment horizontal="center" wrapText="1"/>
    </xf>
    <xf numFmtId="167" fontId="0" fillId="0" borderId="0" xfId="4" applyFont="1" applyFill="1" applyAlignment="1">
      <alignment wrapText="1"/>
    </xf>
    <xf numFmtId="167" fontId="23" fillId="0" borderId="0" xfId="0" applyNumberFormat="1" applyFont="1" applyAlignment="1">
      <alignment wrapText="1"/>
    </xf>
    <xf numFmtId="1" fontId="22" fillId="0" borderId="1" xfId="0" applyNumberFormat="1" applyFont="1" applyBorder="1" applyAlignment="1">
      <alignment horizontal="center" wrapText="1"/>
    </xf>
    <xf numFmtId="170" fontId="0" fillId="0" borderId="0" xfId="4" applyNumberFormat="1" applyFont="1" applyFill="1" applyBorder="1" applyAlignment="1">
      <alignment horizontal="center" wrapText="1"/>
    </xf>
    <xf numFmtId="169" fontId="0" fillId="0" borderId="0" xfId="4" applyNumberFormat="1" applyFont="1" applyBorder="1" applyAlignment="1">
      <alignment wrapText="1"/>
    </xf>
    <xf numFmtId="167" fontId="21" fillId="4" borderId="0" xfId="4" applyFont="1" applyFill="1" applyBorder="1" applyAlignment="1">
      <alignment wrapText="1"/>
    </xf>
    <xf numFmtId="167" fontId="4" fillId="4" borderId="0" xfId="4" applyFont="1" applyFill="1" applyBorder="1" applyAlignment="1">
      <alignment wrapText="1"/>
    </xf>
    <xf numFmtId="164" fontId="0" fillId="0" borderId="0" xfId="2" applyFont="1" applyBorder="1" applyAlignment="1">
      <alignment wrapText="1"/>
    </xf>
    <xf numFmtId="171" fontId="0" fillId="0" borderId="0" xfId="5" applyNumberFormat="1" applyFont="1" applyBorder="1" applyAlignment="1">
      <alignment horizontal="center" wrapText="1"/>
    </xf>
    <xf numFmtId="9" fontId="0" fillId="0" borderId="0" xfId="3" applyFont="1" applyBorder="1" applyAlignment="1">
      <alignment horizontal="center" wrapText="1"/>
    </xf>
    <xf numFmtId="167" fontId="21" fillId="4" borderId="0" xfId="0" applyNumberFormat="1" applyFont="1" applyFill="1" applyAlignment="1">
      <alignment wrapText="1"/>
    </xf>
    <xf numFmtId="167" fontId="23" fillId="4" borderId="0" xfId="0" applyNumberFormat="1" applyFont="1" applyFill="1" applyAlignment="1">
      <alignment wrapText="1"/>
    </xf>
    <xf numFmtId="167" fontId="0" fillId="0" borderId="0" xfId="4" applyFont="1" applyFill="1" applyBorder="1" applyAlignment="1">
      <alignment horizontal="center" wrapText="1"/>
    </xf>
    <xf numFmtId="164" fontId="0" fillId="0" borderId="0" xfId="2" applyFont="1" applyFill="1" applyBorder="1" applyAlignment="1">
      <alignment wrapText="1"/>
    </xf>
    <xf numFmtId="14" fontId="0" fillId="0" borderId="0" xfId="4" applyNumberFormat="1" applyFont="1" applyFill="1" applyBorder="1" applyAlignment="1">
      <alignment wrapText="1"/>
    </xf>
    <xf numFmtId="2" fontId="0" fillId="0" borderId="0" xfId="3" applyNumberFormat="1" applyFont="1" applyFill="1" applyBorder="1" applyAlignment="1">
      <alignment wrapText="1"/>
    </xf>
    <xf numFmtId="14" fontId="0" fillId="0" borderId="0" xfId="3" applyNumberFormat="1" applyFont="1" applyFill="1" applyBorder="1" applyAlignment="1">
      <alignment wrapText="1"/>
    </xf>
    <xf numFmtId="169" fontId="0" fillId="0" borderId="1" xfId="4" applyNumberFormat="1" applyFont="1" applyFill="1" applyBorder="1" applyAlignment="1">
      <alignment wrapText="1"/>
    </xf>
    <xf numFmtId="167" fontId="0" fillId="0" borderId="1" xfId="4" applyFont="1" applyFill="1" applyBorder="1" applyAlignment="1">
      <alignment wrapText="1"/>
    </xf>
    <xf numFmtId="10" fontId="0" fillId="0" borderId="1" xfId="3" applyNumberFormat="1" applyFont="1" applyFill="1" applyBorder="1" applyAlignment="1">
      <alignment wrapText="1"/>
    </xf>
    <xf numFmtId="0" fontId="4" fillId="0" borderId="0" xfId="0" applyFont="1" applyAlignment="1">
      <alignment horizontal="center" vertical="top" wrapText="1"/>
    </xf>
    <xf numFmtId="14" fontId="4" fillId="2" borderId="0" xfId="0" applyNumberFormat="1" applyFont="1" applyFill="1" applyAlignment="1">
      <alignment wrapText="1"/>
    </xf>
    <xf numFmtId="0" fontId="17" fillId="0" borderId="7" xfId="0" applyFont="1" applyBorder="1" applyAlignment="1">
      <alignment vertical="center" wrapText="1"/>
    </xf>
    <xf numFmtId="0" fontId="14" fillId="0" borderId="7" xfId="0" applyFont="1" applyBorder="1" applyAlignment="1">
      <alignment vertical="center" wrapText="1"/>
    </xf>
    <xf numFmtId="0" fontId="1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7" xfId="0" applyFont="1" applyBorder="1" applyAlignment="1">
      <alignment horizontal="center" vertical="center" wrapText="1"/>
    </xf>
    <xf numFmtId="0" fontId="1" fillId="0" borderId="12" xfId="0" applyFont="1" applyBorder="1" applyAlignment="1">
      <alignment horizontal="center" vertical="justify" wrapText="1"/>
    </xf>
    <xf numFmtId="0" fontId="13" fillId="0" borderId="0" xfId="0" applyFont="1"/>
    <xf numFmtId="0" fontId="14" fillId="0" borderId="0" xfId="0" applyFont="1" applyAlignment="1">
      <alignment vertical="center" wrapText="1"/>
    </xf>
    <xf numFmtId="0" fontId="15" fillId="0" borderId="0" xfId="0" applyFont="1" applyAlignment="1">
      <alignment vertical="center" wrapText="1"/>
    </xf>
    <xf numFmtId="0" fontId="15" fillId="0" borderId="12" xfId="0" applyFont="1" applyBorder="1" applyAlignment="1">
      <alignment vertical="center" wrapText="1"/>
    </xf>
    <xf numFmtId="0" fontId="12" fillId="0" borderId="0" xfId="0" applyFont="1" applyAlignment="1">
      <alignment horizontal="right" vertical="center" wrapText="1"/>
    </xf>
    <xf numFmtId="0" fontId="15" fillId="0" borderId="13" xfId="0" applyFont="1" applyBorder="1" applyAlignment="1">
      <alignment vertical="center" wrapText="1"/>
    </xf>
    <xf numFmtId="0" fontId="11" fillId="0" borderId="3" xfId="0" applyFont="1" applyBorder="1" applyAlignment="1">
      <alignment horizontal="center" vertical="center" wrapText="1"/>
    </xf>
    <xf numFmtId="0" fontId="0" fillId="0" borderId="18" xfId="0" applyBorder="1" applyAlignment="1">
      <alignment horizontal="center" vertical="center" wrapText="1"/>
    </xf>
    <xf numFmtId="0" fontId="0" fillId="0" borderId="12" xfId="0" applyBorder="1" applyAlignment="1">
      <alignment horizontal="center" vertical="center" wrapText="1"/>
    </xf>
    <xf numFmtId="0" fontId="0" fillId="0" borderId="17" xfId="0" applyBorder="1" applyAlignment="1">
      <alignment horizontal="center" vertical="center" wrapText="1"/>
    </xf>
    <xf numFmtId="0" fontId="5" fillId="0" borderId="12" xfId="0" applyFont="1" applyBorder="1" applyAlignment="1">
      <alignment horizontal="center" vertical="justify" wrapText="1"/>
    </xf>
    <xf numFmtId="0" fontId="19" fillId="0" borderId="3" xfId="0" applyFont="1" applyBorder="1" applyAlignment="1">
      <alignment horizontal="center" vertical="center" wrapText="1"/>
    </xf>
    <xf numFmtId="0" fontId="19" fillId="0" borderId="6" xfId="0" applyFont="1" applyBorder="1" applyAlignment="1">
      <alignment horizontal="center" vertical="center" wrapText="1"/>
    </xf>
    <xf numFmtId="0" fontId="8" fillId="0" borderId="12" xfId="0" applyFont="1" applyBorder="1" applyAlignment="1">
      <alignment vertical="center" wrapText="1"/>
    </xf>
    <xf numFmtId="0" fontId="8" fillId="0" borderId="13" xfId="0" applyFont="1" applyBorder="1" applyAlignment="1">
      <alignment vertical="center" wrapText="1"/>
    </xf>
    <xf numFmtId="0" fontId="17" fillId="0" borderId="7" xfId="0" applyFont="1" applyBorder="1" applyAlignment="1">
      <alignment horizontal="center" vertical="center" wrapText="1"/>
    </xf>
    <xf numFmtId="10" fontId="16" fillId="0" borderId="14" xfId="3" applyNumberFormat="1" applyFont="1" applyFill="1" applyBorder="1" applyAlignment="1">
      <alignment horizontal="center" vertical="center" wrapText="1"/>
    </xf>
    <xf numFmtId="172" fontId="18" fillId="0" borderId="21" xfId="3" applyNumberFormat="1" applyFont="1" applyFill="1" applyBorder="1" applyAlignment="1">
      <alignment horizontal="center" vertical="center" wrapText="1"/>
    </xf>
    <xf numFmtId="0" fontId="1" fillId="0" borderId="0" xfId="0" applyFont="1" applyAlignment="1">
      <alignment horizontal="center" vertical="justify" wrapText="1"/>
    </xf>
    <xf numFmtId="164" fontId="12" fillId="0" borderId="0" xfId="2" applyFont="1" applyAlignment="1">
      <alignment horizontal="center" vertical="center" wrapText="1"/>
    </xf>
    <xf numFmtId="14" fontId="30" fillId="0" borderId="3" xfId="0" applyNumberFormat="1" applyFont="1" applyBorder="1" applyAlignment="1">
      <alignment horizontal="center" vertical="center" wrapText="1"/>
    </xf>
    <xf numFmtId="2" fontId="30" fillId="0" borderId="3" xfId="2" applyNumberFormat="1" applyFont="1" applyFill="1" applyBorder="1" applyAlignment="1">
      <alignment horizontal="center" vertical="center" wrapText="1"/>
    </xf>
    <xf numFmtId="0" fontId="11" fillId="0" borderId="0" xfId="0" applyFont="1" applyAlignment="1">
      <alignment horizontal="center" vertical="center" wrapText="1"/>
    </xf>
    <xf numFmtId="0" fontId="16" fillId="0" borderId="3" xfId="0" applyFont="1" applyBorder="1" applyAlignment="1">
      <alignment horizontal="justify" vertical="center" wrapText="1"/>
    </xf>
    <xf numFmtId="172" fontId="30" fillId="0" borderId="3" xfId="0" applyNumberFormat="1" applyFont="1" applyBorder="1" applyAlignment="1">
      <alignment horizontal="center" vertical="center" wrapText="1"/>
    </xf>
    <xf numFmtId="0" fontId="9" fillId="0" borderId="0" xfId="0" applyFont="1" applyAlignment="1">
      <alignment vertical="center" wrapText="1"/>
    </xf>
    <xf numFmtId="14" fontId="38" fillId="0" borderId="3" xfId="0" applyNumberFormat="1" applyFont="1" applyBorder="1" applyAlignment="1">
      <alignment horizontal="center" vertical="center" wrapText="1"/>
    </xf>
    <xf numFmtId="0" fontId="37" fillId="0" borderId="3" xfId="0" applyFont="1" applyBorder="1" applyAlignment="1">
      <alignment horizontal="center" vertical="center" wrapText="1"/>
    </xf>
    <xf numFmtId="166" fontId="38" fillId="0" borderId="3" xfId="2" applyNumberFormat="1" applyFont="1" applyFill="1" applyBorder="1" applyAlignment="1">
      <alignment horizontal="center" vertical="center" wrapText="1"/>
    </xf>
    <xf numFmtId="2" fontId="38" fillId="0" borderId="3" xfId="2" applyNumberFormat="1" applyFont="1" applyFill="1" applyBorder="1" applyAlignment="1">
      <alignment horizontal="center" vertical="center" wrapText="1"/>
    </xf>
    <xf numFmtId="0" fontId="8" fillId="0" borderId="0" xfId="0" applyFont="1" applyAlignment="1">
      <alignment vertical="center" wrapText="1"/>
    </xf>
    <xf numFmtId="0" fontId="0" fillId="0" borderId="0" xfId="0" applyAlignment="1">
      <alignment horizontal="right" vertical="center" wrapText="1"/>
    </xf>
    <xf numFmtId="0" fontId="18" fillId="0" borderId="14" xfId="0" applyFont="1" applyBorder="1" applyAlignment="1">
      <alignment horizontal="center" vertical="center" wrapText="1"/>
    </xf>
    <xf numFmtId="9" fontId="18" fillId="0" borderId="14" xfId="3" applyFont="1" applyFill="1" applyBorder="1" applyAlignment="1">
      <alignment horizontal="center" vertical="center" wrapText="1"/>
    </xf>
    <xf numFmtId="0" fontId="18" fillId="0" borderId="14" xfId="0" applyFont="1" applyBorder="1" applyAlignment="1">
      <alignment horizontal="justify" vertical="top" wrapText="1"/>
    </xf>
    <xf numFmtId="0" fontId="24" fillId="0" borderId="0" xfId="0" applyFont="1" applyAlignment="1">
      <alignment horizontal="center" vertical="top" wrapText="1"/>
    </xf>
    <xf numFmtId="0" fontId="18" fillId="0" borderId="5" xfId="0" applyFont="1" applyBorder="1" applyAlignment="1">
      <alignment horizontal="center" vertical="center" wrapText="1"/>
    </xf>
    <xf numFmtId="2" fontId="16" fillId="0" borderId="6" xfId="2" applyNumberFormat="1" applyFont="1" applyFill="1" applyBorder="1" applyAlignment="1">
      <alignment horizontal="center" vertical="center"/>
    </xf>
    <xf numFmtId="0" fontId="7" fillId="0" borderId="0" xfId="0" applyFont="1"/>
    <xf numFmtId="0" fontId="17" fillId="0" borderId="14" xfId="0" applyFont="1" applyBorder="1" applyAlignment="1">
      <alignment horizontal="center" vertical="center" wrapText="1"/>
    </xf>
    <xf numFmtId="10" fontId="17" fillId="0" borderId="14" xfId="3" applyNumberFormat="1" applyFont="1" applyFill="1" applyBorder="1" applyAlignment="1">
      <alignment horizontal="center" vertical="center" wrapText="1"/>
    </xf>
    <xf numFmtId="1" fontId="6" fillId="0" borderId="0" xfId="0" applyNumberFormat="1" applyFont="1"/>
    <xf numFmtId="0" fontId="17" fillId="0" borderId="21" xfId="0" applyFont="1" applyBorder="1" applyAlignment="1">
      <alignment horizontal="center" vertical="center" wrapText="1"/>
    </xf>
    <xf numFmtId="10" fontId="17" fillId="0" borderId="21" xfId="3" applyNumberFormat="1" applyFont="1" applyFill="1" applyBorder="1" applyAlignment="1">
      <alignment horizontal="center" vertical="center" wrapText="1"/>
    </xf>
    <xf numFmtId="0" fontId="18" fillId="0" borderId="5" xfId="0" applyFont="1" applyBorder="1" applyAlignment="1">
      <alignment horizontal="center" vertical="center" wrapText="1"/>
    </xf>
    <xf numFmtId="0" fontId="12" fillId="0" borderId="0" xfId="0" applyFont="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6" xfId="0" applyFont="1" applyBorder="1" applyAlignment="1">
      <alignment horizontal="center" vertical="center" wrapText="1"/>
    </xf>
    <xf numFmtId="0" fontId="0" fillId="0" borderId="0" xfId="0" applyAlignment="1">
      <alignment horizontal="center" vertical="center" wrapText="1"/>
    </xf>
    <xf numFmtId="0" fontId="0" fillId="0" borderId="7" xfId="0" applyBorder="1" applyAlignment="1">
      <alignment horizontal="center" vertical="center" wrapText="1"/>
    </xf>
    <xf numFmtId="0" fontId="27" fillId="0" borderId="8" xfId="0" applyFont="1" applyBorder="1" applyAlignment="1">
      <alignment horizontal="center" vertical="center" wrapText="1"/>
    </xf>
    <xf numFmtId="0" fontId="27" fillId="0" borderId="0" xfId="0" applyFont="1" applyAlignment="1">
      <alignment horizontal="center" vertical="center" wrapText="1"/>
    </xf>
    <xf numFmtId="0" fontId="12" fillId="0" borderId="8" xfId="0" applyFont="1" applyBorder="1" applyAlignment="1">
      <alignment horizontal="center" vertical="center" wrapText="1"/>
    </xf>
    <xf numFmtId="0" fontId="12" fillId="0" borderId="0" xfId="0" applyFont="1" applyAlignment="1">
      <alignment horizontal="center" vertical="center" wrapText="1"/>
    </xf>
    <xf numFmtId="0" fontId="12" fillId="0" borderId="7" xfId="0" applyFont="1" applyBorder="1" applyAlignment="1">
      <alignment horizontal="center" vertical="center" wrapText="1"/>
    </xf>
    <xf numFmtId="0" fontId="18" fillId="0" borderId="1" xfId="0" applyFont="1" applyBorder="1" applyAlignment="1">
      <alignment vertical="center" wrapText="1"/>
    </xf>
    <xf numFmtId="2" fontId="16" fillId="0" borderId="1" xfId="0" applyNumberFormat="1" applyFont="1" applyBorder="1" applyAlignment="1">
      <alignment horizontal="center" vertical="center"/>
    </xf>
    <xf numFmtId="0" fontId="18" fillId="0" borderId="1" xfId="0" applyFont="1" applyBorder="1" applyAlignment="1">
      <alignment horizontal="justify" vertical="center" wrapText="1"/>
    </xf>
    <xf numFmtId="0" fontId="18" fillId="0" borderId="1" xfId="0" applyFont="1" applyBorder="1" applyAlignment="1">
      <alignment horizontal="justify" vertical="center"/>
    </xf>
    <xf numFmtId="0" fontId="11" fillId="0" borderId="0" xfId="0" applyFont="1" applyAlignment="1">
      <alignment vertical="center" wrapText="1"/>
    </xf>
    <xf numFmtId="0" fontId="37" fillId="0" borderId="9" xfId="0" applyFont="1" applyBorder="1" applyAlignment="1">
      <alignment horizontal="left" vertical="center" wrapText="1"/>
    </xf>
    <xf numFmtId="0" fontId="37" fillId="0" borderId="10" xfId="0" applyFont="1" applyBorder="1" applyAlignment="1">
      <alignment horizontal="left" vertical="center" wrapText="1"/>
    </xf>
    <xf numFmtId="0" fontId="37" fillId="0" borderId="11" xfId="0" applyFont="1" applyBorder="1" applyAlignment="1">
      <alignment horizontal="left" vertical="center" wrapText="1"/>
    </xf>
    <xf numFmtId="0" fontId="37" fillId="0" borderId="18" xfId="0" applyFont="1" applyBorder="1" applyAlignment="1">
      <alignment horizontal="left" vertical="center" wrapText="1"/>
    </xf>
    <xf numFmtId="0" fontId="37" fillId="0" borderId="0" xfId="0" applyFont="1" applyAlignment="1">
      <alignment horizontal="left" vertical="center" wrapText="1"/>
    </xf>
    <xf numFmtId="0" fontId="37" fillId="0" borderId="12" xfId="0" applyFont="1" applyBorder="1" applyAlignment="1">
      <alignment horizontal="left" vertical="center" wrapText="1"/>
    </xf>
    <xf numFmtId="0" fontId="32" fillId="0" borderId="9" xfId="0" applyFont="1" applyBorder="1" applyAlignment="1">
      <alignment horizontal="justify" vertical="center" wrapText="1"/>
    </xf>
    <xf numFmtId="0" fontId="32" fillId="0" borderId="10" xfId="0" applyFont="1" applyBorder="1" applyAlignment="1">
      <alignment horizontal="justify" vertical="center" wrapText="1"/>
    </xf>
    <xf numFmtId="0" fontId="32" fillId="0" borderId="11" xfId="0" applyFont="1" applyBorder="1" applyAlignment="1">
      <alignment horizontal="justify"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32" fillId="0" borderId="7" xfId="0" applyFont="1" applyBorder="1" applyAlignment="1">
      <alignment horizontal="justify"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4" xfId="0" applyFont="1" applyBorder="1" applyAlignment="1">
      <alignment horizontal="justify" vertical="center" wrapText="1"/>
    </xf>
    <xf numFmtId="0" fontId="18" fillId="0" borderId="19" xfId="0" applyFont="1" applyBorder="1" applyAlignment="1">
      <alignment horizontal="justify"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36" fillId="0" borderId="9" xfId="0" applyFont="1" applyBorder="1" applyAlignment="1">
      <alignment horizontal="justify" vertical="center" wrapText="1"/>
    </xf>
    <xf numFmtId="0" fontId="36" fillId="0" borderId="10" xfId="0" applyFont="1" applyBorder="1" applyAlignment="1">
      <alignment horizontal="justify" vertical="center" wrapText="1"/>
    </xf>
    <xf numFmtId="0" fontId="36" fillId="0" borderId="11"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9" fontId="18" fillId="0" borderId="28" xfId="3" applyFont="1" applyFill="1" applyBorder="1" applyAlignment="1">
      <alignment horizontal="center" vertical="center" wrapText="1"/>
    </xf>
    <xf numFmtId="9" fontId="18" fillId="0" borderId="17" xfId="3" applyFont="1" applyFill="1" applyBorder="1" applyAlignment="1">
      <alignment horizontal="center" vertical="center" wrapText="1"/>
    </xf>
    <xf numFmtId="0" fontId="18" fillId="0" borderId="24"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0" xfId="0" applyFont="1" applyAlignment="1">
      <alignment horizontal="center" vertical="center" wrapText="1"/>
    </xf>
    <xf numFmtId="0" fontId="12" fillId="0" borderId="12"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3"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0" xfId="0" applyFont="1" applyAlignment="1">
      <alignment horizontal="center" vertical="center" wrapText="1"/>
    </xf>
    <xf numFmtId="0" fontId="34" fillId="0" borderId="16" xfId="0" applyFont="1" applyBorder="1" applyAlignment="1">
      <alignment horizontal="center" vertical="center" wrapText="1"/>
    </xf>
    <xf numFmtId="0" fontId="34" fillId="0" borderId="15"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3"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7" xfId="0" applyFont="1" applyBorder="1" applyAlignment="1">
      <alignment horizontal="center" vertical="center" wrapText="1"/>
    </xf>
    <xf numFmtId="0" fontId="35" fillId="0" borderId="13" xfId="0" applyFont="1" applyBorder="1" applyAlignment="1">
      <alignment horizontal="center" vertical="center" wrapText="1"/>
    </xf>
    <xf numFmtId="0" fontId="24" fillId="0" borderId="18" xfId="0" applyFont="1" applyBorder="1" applyAlignment="1">
      <alignment horizontal="center" vertical="top" wrapText="1"/>
    </xf>
    <xf numFmtId="0" fontId="24" fillId="0" borderId="0" xfId="0" applyFont="1" applyAlignment="1">
      <alignment horizontal="center" vertical="top" wrapText="1"/>
    </xf>
    <xf numFmtId="2" fontId="16" fillId="0" borderId="4" xfId="2" applyNumberFormat="1" applyFont="1" applyFill="1" applyBorder="1" applyAlignment="1">
      <alignment horizontal="center" vertical="center"/>
    </xf>
    <xf numFmtId="2" fontId="16" fillId="0" borderId="5" xfId="2" applyNumberFormat="1" applyFont="1" applyFill="1" applyBorder="1" applyAlignment="1">
      <alignment horizontal="center" vertical="center"/>
    </xf>
    <xf numFmtId="2" fontId="16" fillId="0" borderId="6" xfId="2" applyNumberFormat="1" applyFont="1" applyFill="1" applyBorder="1" applyAlignment="1">
      <alignment horizontal="center" vertical="center"/>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37" fillId="0" borderId="17" xfId="0" applyFont="1" applyBorder="1" applyAlignment="1">
      <alignment horizontal="left" vertical="center" wrapText="1"/>
    </xf>
    <xf numFmtId="0" fontId="37" fillId="0" borderId="7" xfId="0" applyFont="1" applyBorder="1" applyAlignment="1">
      <alignment horizontal="left" vertical="center" wrapText="1"/>
    </xf>
    <xf numFmtId="0" fontId="37" fillId="0" borderId="13" xfId="0" applyFont="1" applyBorder="1" applyAlignment="1">
      <alignment horizontal="left" vertical="center" wrapText="1"/>
    </xf>
    <xf numFmtId="0" fontId="31" fillId="0" borderId="16" xfId="0" applyFont="1" applyBorder="1" applyAlignment="1">
      <alignment horizontal="justify" vertical="center" wrapText="1"/>
    </xf>
    <xf numFmtId="0" fontId="31" fillId="0" borderId="8" xfId="0" applyFont="1" applyBorder="1" applyAlignment="1">
      <alignment horizontal="justify" vertical="center" wrapText="1"/>
    </xf>
    <xf numFmtId="0" fontId="31" fillId="0" borderId="15" xfId="0" applyFont="1" applyBorder="1" applyAlignment="1">
      <alignment horizontal="justify" vertical="center" wrapText="1"/>
    </xf>
    <xf numFmtId="0" fontId="31" fillId="0" borderId="17" xfId="0" applyFont="1" applyBorder="1" applyAlignment="1">
      <alignment horizontal="justify" vertical="center" wrapText="1"/>
    </xf>
    <xf numFmtId="0" fontId="31" fillId="0" borderId="7" xfId="0" applyFont="1" applyBorder="1" applyAlignment="1">
      <alignment horizontal="justify" vertical="center" wrapText="1"/>
    </xf>
    <xf numFmtId="0" fontId="31" fillId="0" borderId="13" xfId="0" applyFont="1" applyBorder="1" applyAlignment="1">
      <alignment horizontal="justify"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2" fontId="29" fillId="0" borderId="4" xfId="0" applyNumberFormat="1" applyFont="1" applyBorder="1" applyAlignment="1">
      <alignment horizontal="center" vertical="center"/>
    </xf>
    <xf numFmtId="2" fontId="29" fillId="0" borderId="5" xfId="0" applyNumberFormat="1" applyFont="1" applyBorder="1" applyAlignment="1">
      <alignment horizontal="center" vertical="center"/>
    </xf>
    <xf numFmtId="0" fontId="11" fillId="0" borderId="5" xfId="0" applyFont="1" applyBorder="1" applyAlignment="1">
      <alignment horizontal="center" vertical="center" wrapText="1"/>
    </xf>
    <xf numFmtId="2" fontId="29" fillId="0" borderId="4" xfId="0" applyNumberFormat="1" applyFont="1" applyBorder="1" applyAlignment="1">
      <alignment horizontal="center" vertical="center" wrapText="1"/>
    </xf>
    <xf numFmtId="2" fontId="29" fillId="0" borderId="5" xfId="0" applyNumberFormat="1" applyFont="1" applyBorder="1" applyAlignment="1">
      <alignment horizontal="center" vertical="center" wrapText="1"/>
    </xf>
    <xf numFmtId="0" fontId="19" fillId="0" borderId="9" xfId="0" applyFont="1" applyBorder="1" applyAlignment="1">
      <alignment horizontal="left" vertical="center" wrapText="1"/>
    </xf>
    <xf numFmtId="0" fontId="19" fillId="0" borderId="10" xfId="0" applyFont="1" applyBorder="1" applyAlignment="1">
      <alignment horizontal="left" vertical="center" wrapText="1"/>
    </xf>
    <xf numFmtId="0" fontId="19" fillId="0" borderId="11" xfId="0" applyFont="1" applyBorder="1" applyAlignment="1">
      <alignment horizontal="left" vertical="center" wrapText="1"/>
    </xf>
    <xf numFmtId="2" fontId="29" fillId="0" borderId="6" xfId="0" applyNumberFormat="1" applyFont="1" applyBorder="1" applyAlignment="1">
      <alignment horizontal="center" vertical="center" wrapText="1"/>
    </xf>
    <xf numFmtId="0" fontId="18" fillId="0" borderId="19" xfId="0" applyFont="1" applyBorder="1" applyAlignment="1">
      <alignment horizontal="center" vertical="center" wrapText="1"/>
    </xf>
    <xf numFmtId="10" fontId="18" fillId="0" borderId="4" xfId="3" applyNumberFormat="1" applyFont="1" applyFill="1" applyBorder="1" applyAlignment="1">
      <alignment horizontal="center" vertical="center" wrapText="1"/>
    </xf>
    <xf numFmtId="10" fontId="18" fillId="0" borderId="19" xfId="3" applyNumberFormat="1" applyFont="1" applyFill="1" applyBorder="1" applyAlignment="1">
      <alignment horizontal="center" vertical="center" wrapText="1"/>
    </xf>
    <xf numFmtId="10" fontId="18" fillId="0" borderId="24" xfId="3" applyNumberFormat="1" applyFont="1" applyFill="1" applyBorder="1" applyAlignment="1">
      <alignment horizontal="center" vertical="center" wrapText="1"/>
    </xf>
    <xf numFmtId="10" fontId="18" fillId="0" borderId="6" xfId="3" applyNumberFormat="1" applyFont="1" applyFill="1" applyBorder="1" applyAlignment="1">
      <alignment horizontal="center" vertical="center" wrapText="1"/>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13"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13" xfId="0" applyFont="1" applyBorder="1" applyAlignment="1">
      <alignment horizontal="center" vertical="center" wrapText="1"/>
    </xf>
    <xf numFmtId="0" fontId="0" fillId="0" borderId="16" xfId="0" applyBorder="1" applyAlignment="1">
      <alignment horizontal="center" vertical="center" wrapText="1"/>
    </xf>
    <xf numFmtId="0" fontId="0" fillId="0" borderId="8" xfId="0" applyBorder="1" applyAlignment="1">
      <alignment horizontal="center" vertical="center" wrapText="1"/>
    </xf>
    <xf numFmtId="0" fontId="0" fillId="0" borderId="15" xfId="0" applyBorder="1" applyAlignment="1">
      <alignment horizontal="center" vertical="center" wrapText="1"/>
    </xf>
    <xf numFmtId="0" fontId="0" fillId="0" borderId="18"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13" xfId="0" applyBorder="1" applyAlignment="1">
      <alignment horizontal="center" vertical="center" wrapText="1"/>
    </xf>
    <xf numFmtId="0" fontId="27" fillId="0" borderId="18"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0" xfId="0" applyFont="1" applyAlignment="1">
      <alignment horizontal="center" vertical="center" wrapText="1"/>
    </xf>
    <xf numFmtId="2" fontId="18" fillId="0" borderId="4" xfId="0" applyNumberFormat="1" applyFont="1" applyBorder="1" applyAlignment="1">
      <alignment horizontal="center" vertical="center" wrapText="1"/>
    </xf>
    <xf numFmtId="2" fontId="18" fillId="0" borderId="5" xfId="0" applyNumberFormat="1" applyFont="1" applyBorder="1" applyAlignment="1">
      <alignment horizontal="center" vertical="center" wrapText="1"/>
    </xf>
    <xf numFmtId="10" fontId="16" fillId="0" borderId="24" xfId="3" applyNumberFormat="1" applyFont="1" applyFill="1" applyBorder="1" applyAlignment="1">
      <alignment horizontal="center" vertical="center" wrapText="1"/>
    </xf>
    <xf numFmtId="10" fontId="16" fillId="0" borderId="6" xfId="3" applyNumberFormat="1" applyFont="1" applyFill="1" applyBorder="1" applyAlignment="1">
      <alignment horizontal="center" vertical="center" wrapText="1"/>
    </xf>
    <xf numFmtId="0" fontId="19" fillId="0" borderId="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0" xfId="0" applyFont="1" applyBorder="1" applyAlignment="1">
      <alignment horizontal="center" vertical="center"/>
    </xf>
    <xf numFmtId="0" fontId="19" fillId="0" borderId="11" xfId="0" applyFont="1" applyBorder="1" applyAlignment="1">
      <alignment horizontal="center" vertical="center"/>
    </xf>
    <xf numFmtId="166" fontId="30" fillId="0" borderId="18" xfId="2" applyNumberFormat="1" applyFont="1" applyFill="1" applyBorder="1" applyAlignment="1">
      <alignment horizontal="center" vertical="center" wrapText="1"/>
    </xf>
    <xf numFmtId="166" fontId="30" fillId="0" borderId="12" xfId="2" applyNumberFormat="1" applyFont="1" applyFill="1" applyBorder="1" applyAlignment="1">
      <alignment horizontal="center" vertical="center" wrapText="1"/>
    </xf>
    <xf numFmtId="2" fontId="30" fillId="0" borderId="9" xfId="2" applyNumberFormat="1" applyFont="1" applyFill="1" applyBorder="1" applyAlignment="1">
      <alignment horizontal="center" vertical="center" wrapText="1"/>
    </xf>
    <xf numFmtId="2" fontId="30" fillId="0" borderId="11" xfId="2" applyNumberFormat="1" applyFont="1" applyFill="1" applyBorder="1" applyAlignment="1">
      <alignment horizontal="center" vertical="center" wrapText="1"/>
    </xf>
    <xf numFmtId="2" fontId="30" fillId="0" borderId="18" xfId="2" applyNumberFormat="1" applyFont="1" applyFill="1" applyBorder="1" applyAlignment="1">
      <alignment horizontal="center" vertical="center" wrapText="1"/>
    </xf>
    <xf numFmtId="2" fontId="30" fillId="0" borderId="12" xfId="2" applyNumberFormat="1" applyFont="1" applyFill="1" applyBorder="1" applyAlignment="1">
      <alignment horizontal="center" vertical="center" wrapText="1"/>
    </xf>
    <xf numFmtId="14" fontId="30" fillId="0" borderId="16" xfId="0" applyNumberFormat="1" applyFont="1" applyBorder="1" applyAlignment="1">
      <alignment horizontal="center" vertical="center" wrapText="1"/>
    </xf>
    <xf numFmtId="14" fontId="30" fillId="0" borderId="15" xfId="0" applyNumberFormat="1" applyFont="1" applyBorder="1" applyAlignment="1">
      <alignment horizontal="center" vertical="center" wrapText="1"/>
    </xf>
    <xf numFmtId="14" fontId="30" fillId="0" borderId="9" xfId="0" applyNumberFormat="1" applyFont="1" applyBorder="1" applyAlignment="1">
      <alignment horizontal="center" vertical="center" wrapText="1"/>
    </xf>
    <xf numFmtId="14" fontId="30" fillId="0" borderId="11" xfId="0" applyNumberFormat="1" applyFont="1" applyBorder="1" applyAlignment="1">
      <alignment horizontal="center" vertical="center" wrapText="1"/>
    </xf>
    <xf numFmtId="0" fontId="19" fillId="0" borderId="18" xfId="0" applyFont="1" applyBorder="1" applyAlignment="1">
      <alignment horizontal="center" vertical="center" wrapText="1"/>
    </xf>
    <xf numFmtId="0" fontId="19" fillId="0" borderId="12" xfId="0" applyFont="1" applyBorder="1" applyAlignment="1">
      <alignment horizontal="center" vertical="center" wrapText="1"/>
    </xf>
    <xf numFmtId="166" fontId="30" fillId="0" borderId="9" xfId="2" applyNumberFormat="1" applyFont="1" applyFill="1" applyBorder="1" applyAlignment="1">
      <alignment horizontal="center" vertical="center" wrapText="1"/>
    </xf>
    <xf numFmtId="166" fontId="30" fillId="0" borderId="11" xfId="2" applyNumberFormat="1" applyFont="1" applyFill="1" applyBorder="1" applyAlignment="1">
      <alignment horizontal="center" vertical="center" wrapText="1"/>
    </xf>
    <xf numFmtId="0" fontId="0" fillId="0" borderId="0" xfId="0" applyAlignment="1">
      <alignment horizontal="right" wrapText="1"/>
    </xf>
    <xf numFmtId="0" fontId="0" fillId="0" borderId="22" xfId="0" applyBorder="1" applyAlignment="1">
      <alignment horizontal="center" wrapText="1"/>
    </xf>
    <xf numFmtId="0" fontId="0" fillId="0" borderId="2" xfId="0" applyBorder="1" applyAlignment="1">
      <alignment horizontal="center" wrapText="1"/>
    </xf>
    <xf numFmtId="0" fontId="0" fillId="0" borderId="23" xfId="0" applyBorder="1" applyAlignment="1">
      <alignment horizontal="center" wrapText="1"/>
    </xf>
    <xf numFmtId="0" fontId="0" fillId="0" borderId="0" xfId="0" applyAlignment="1">
      <alignment horizontal="center" wrapText="1"/>
    </xf>
    <xf numFmtId="0" fontId="4" fillId="5" borderId="22" xfId="0" applyFont="1" applyFill="1" applyBorder="1" applyAlignment="1">
      <alignment horizontal="center" wrapText="1"/>
    </xf>
    <xf numFmtId="0" fontId="4" fillId="5" borderId="2" xfId="0" applyFont="1" applyFill="1" applyBorder="1" applyAlignment="1">
      <alignment horizontal="center" wrapText="1"/>
    </xf>
    <xf numFmtId="0" fontId="4" fillId="5" borderId="23" xfId="0" applyFont="1" applyFill="1" applyBorder="1" applyAlignment="1">
      <alignment horizontal="center" wrapText="1"/>
    </xf>
    <xf numFmtId="0" fontId="4" fillId="0" borderId="22" xfId="0" applyFont="1" applyBorder="1" applyAlignment="1">
      <alignment horizontal="center" wrapText="1"/>
    </xf>
    <xf numFmtId="0" fontId="4" fillId="0" borderId="2" xfId="0" applyFont="1" applyBorder="1" applyAlignment="1">
      <alignment horizontal="center" wrapText="1"/>
    </xf>
    <xf numFmtId="0" fontId="4" fillId="0" borderId="23" xfId="0" applyFont="1" applyBorder="1" applyAlignment="1">
      <alignment horizontal="center" wrapText="1"/>
    </xf>
    <xf numFmtId="0" fontId="4" fillId="0" borderId="0" xfId="0" applyFont="1" applyAlignment="1">
      <alignment horizontal="center" wrapText="1"/>
    </xf>
    <xf numFmtId="0" fontId="0" fillId="0" borderId="0" xfId="0" applyAlignment="1">
      <alignment horizontal="left" wrapText="1"/>
    </xf>
    <xf numFmtId="0" fontId="4" fillId="3" borderId="22" xfId="0" applyFont="1" applyFill="1" applyBorder="1" applyAlignment="1">
      <alignment horizontal="center" wrapText="1"/>
    </xf>
    <xf numFmtId="0" fontId="4" fillId="3" borderId="2" xfId="0" applyFont="1" applyFill="1" applyBorder="1" applyAlignment="1">
      <alignment horizontal="center" wrapText="1"/>
    </xf>
    <xf numFmtId="0" fontId="4" fillId="3" borderId="23" xfId="0" applyFont="1" applyFill="1" applyBorder="1" applyAlignment="1">
      <alignment horizontal="center" wrapText="1"/>
    </xf>
    <xf numFmtId="0" fontId="0" fillId="0" borderId="1" xfId="0" applyBorder="1" applyAlignment="1">
      <alignment horizontal="center" wrapText="1"/>
    </xf>
    <xf numFmtId="164" fontId="4" fillId="0" borderId="0" xfId="2" applyFont="1" applyAlignment="1">
      <alignment horizontal="center" wrapText="1"/>
    </xf>
    <xf numFmtId="0" fontId="4" fillId="0" borderId="9" xfId="0" applyFont="1" applyBorder="1" applyAlignment="1">
      <alignment horizontal="center" vertical="top" wrapText="1"/>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cellXfs>
  <cellStyles count="46">
    <cellStyle name="Millares 2" xfId="1"/>
    <cellStyle name="Millares 3" xfId="4"/>
    <cellStyle name="Millares 3 2" xfId="6"/>
    <cellStyle name="Millares 3 2 2" xfId="9"/>
    <cellStyle name="Millares 3 2 2 2" xfId="24"/>
    <cellStyle name="Millares 3 2 2 2 2" xfId="41"/>
    <cellStyle name="Millares 3 2 2 3" xfId="18"/>
    <cellStyle name="Millares 3 2 2 4" xfId="35"/>
    <cellStyle name="Millares 3 2 3" xfId="12"/>
    <cellStyle name="Millares 3 2 3 2" xfId="21"/>
    <cellStyle name="Millares 3 2 3 3" xfId="38"/>
    <cellStyle name="Millares 3 2 4" xfId="27"/>
    <cellStyle name="Millares 3 2 4 2" xfId="44"/>
    <cellStyle name="Millares 3 2 5" xfId="15"/>
    <cellStyle name="Millares 3 2 6" xfId="32"/>
    <cellStyle name="Millares 3 3" xfId="29"/>
    <cellStyle name="Moneda" xfId="2" builtinId="4"/>
    <cellStyle name="Moneda [0]" xfId="5" builtinId="7"/>
    <cellStyle name="Moneda [0] 2" xfId="7"/>
    <cellStyle name="Moneda [0] 2 2" xfId="10"/>
    <cellStyle name="Moneda [0] 2 2 2" xfId="25"/>
    <cellStyle name="Moneda [0] 2 2 2 2" xfId="42"/>
    <cellStyle name="Moneda [0] 2 2 3" xfId="19"/>
    <cellStyle name="Moneda [0] 2 2 4" xfId="36"/>
    <cellStyle name="Moneda [0] 2 3" xfId="13"/>
    <cellStyle name="Moneda [0] 2 3 2" xfId="22"/>
    <cellStyle name="Moneda [0] 2 3 3" xfId="39"/>
    <cellStyle name="Moneda [0] 2 4" xfId="28"/>
    <cellStyle name="Moneda [0] 2 4 2" xfId="45"/>
    <cellStyle name="Moneda [0] 2 5" xfId="16"/>
    <cellStyle name="Moneda [0] 2 6" xfId="33"/>
    <cellStyle name="Moneda [0] 3" xfId="8"/>
    <cellStyle name="Moneda [0] 3 2" xfId="23"/>
    <cellStyle name="Moneda [0] 3 2 2" xfId="40"/>
    <cellStyle name="Moneda [0] 3 3" xfId="17"/>
    <cellStyle name="Moneda [0] 3 4" xfId="34"/>
    <cellStyle name="Moneda [0] 4" xfId="11"/>
    <cellStyle name="Moneda [0] 4 2" xfId="20"/>
    <cellStyle name="Moneda [0] 4 3" xfId="37"/>
    <cellStyle name="Moneda [0] 5" xfId="26"/>
    <cellStyle name="Moneda [0] 5 2" xfId="43"/>
    <cellStyle name="Moneda [0] 6" xfId="14"/>
    <cellStyle name="Moneda [0] 7" xfId="30"/>
    <cellStyle name="Moneda [0] 8" xfId="31"/>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1462288</xdr:colOff>
      <xdr:row>0</xdr:row>
      <xdr:rowOff>93910</xdr:rowOff>
    </xdr:from>
    <xdr:to>
      <xdr:col>2</xdr:col>
      <xdr:colOff>1393164</xdr:colOff>
      <xdr:row>4</xdr:row>
      <xdr:rowOff>29581</xdr:rowOff>
    </xdr:to>
    <xdr:pic>
      <xdr:nvPicPr>
        <xdr:cNvPr id="3" name="Imagen 2">
          <a:extLst>
            <a:ext uri="{FF2B5EF4-FFF2-40B4-BE49-F238E27FC236}">
              <a16:creationId xmlns="" xmlns:a16="http://schemas.microsoft.com/office/drawing/2014/main" id="{52EF6890-DFE3-87BD-30BD-02A4087D49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1337" y="93910"/>
          <a:ext cx="1395212" cy="1397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723900</xdr:colOff>
      <xdr:row>25</xdr:row>
      <xdr:rowOff>1320800</xdr:rowOff>
    </xdr:from>
    <xdr:to>
      <xdr:col>5</xdr:col>
      <xdr:colOff>3429000</xdr:colOff>
      <xdr:row>34</xdr:row>
      <xdr:rowOff>219075</xdr:rowOff>
    </xdr:to>
    <xdr:pic>
      <xdr:nvPicPr>
        <xdr:cNvPr id="4" name="Imagen 3">
          <a:extLst>
            <a:ext uri="{FF2B5EF4-FFF2-40B4-BE49-F238E27FC236}">
              <a16:creationId xmlns="" xmlns:a16="http://schemas.microsoft.com/office/drawing/2014/main" id="{138E2DE4-3851-47C2-45F8-1B92E22C636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19900" y="23171150"/>
          <a:ext cx="2705100" cy="24796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895351</xdr:colOff>
      <xdr:row>1</xdr:row>
      <xdr:rowOff>38100</xdr:rowOff>
    </xdr:from>
    <xdr:to>
      <xdr:col>2</xdr:col>
      <xdr:colOff>528245</xdr:colOff>
      <xdr:row>3</xdr:row>
      <xdr:rowOff>381000</xdr:rowOff>
    </xdr:to>
    <xdr:pic>
      <xdr:nvPicPr>
        <xdr:cNvPr id="4" name="Imagen 3">
          <a:extLst>
            <a:ext uri="{FF2B5EF4-FFF2-40B4-BE49-F238E27FC236}">
              <a16:creationId xmlns="" xmlns:a16="http://schemas.microsoft.com/office/drawing/2014/main" id="{363B46C9-5FAF-45D7-AF6D-8CE2E850D6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4451" y="171450"/>
          <a:ext cx="1194994" cy="1181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987136</xdr:colOff>
      <xdr:row>23</xdr:row>
      <xdr:rowOff>675409</xdr:rowOff>
    </xdr:from>
    <xdr:to>
      <xdr:col>6</xdr:col>
      <xdr:colOff>523009</xdr:colOff>
      <xdr:row>36</xdr:row>
      <xdr:rowOff>37811</xdr:rowOff>
    </xdr:to>
    <xdr:pic>
      <xdr:nvPicPr>
        <xdr:cNvPr id="6" name="Imagen 5">
          <a:extLst>
            <a:ext uri="{FF2B5EF4-FFF2-40B4-BE49-F238E27FC236}">
              <a16:creationId xmlns="" xmlns:a16="http://schemas.microsoft.com/office/drawing/2014/main" id="{97FC1817-9F75-4936-9640-1095263B3A3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86500" y="11343409"/>
          <a:ext cx="2705100" cy="24796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846668</xdr:colOff>
      <xdr:row>0</xdr:row>
      <xdr:rowOff>120952</xdr:rowOff>
    </xdr:from>
    <xdr:to>
      <xdr:col>2</xdr:col>
      <xdr:colOff>544286</xdr:colOff>
      <xdr:row>3</xdr:row>
      <xdr:rowOff>105131</xdr:rowOff>
    </xdr:to>
    <xdr:pic>
      <xdr:nvPicPr>
        <xdr:cNvPr id="4" name="Imagen 3">
          <a:extLst>
            <a:ext uri="{FF2B5EF4-FFF2-40B4-BE49-F238E27FC236}">
              <a16:creationId xmlns="" xmlns:a16="http://schemas.microsoft.com/office/drawing/2014/main" id="{34B74806-4C72-4B62-9FFD-84494683BF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5120" y="120952"/>
          <a:ext cx="1360714" cy="13448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1149047</xdr:colOff>
      <xdr:row>0</xdr:row>
      <xdr:rowOff>105833</xdr:rowOff>
    </xdr:from>
    <xdr:to>
      <xdr:col>17</xdr:col>
      <xdr:colOff>1404793</xdr:colOff>
      <xdr:row>2</xdr:row>
      <xdr:rowOff>445373</xdr:rowOff>
    </xdr:to>
    <xdr:pic>
      <xdr:nvPicPr>
        <xdr:cNvPr id="5" name="Imagen 4">
          <a:extLst>
            <a:ext uri="{FF2B5EF4-FFF2-40B4-BE49-F238E27FC236}">
              <a16:creationId xmlns="" xmlns:a16="http://schemas.microsoft.com/office/drawing/2014/main" id="{F8E97EE8-8D26-4676-A113-D5D76141EA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382618" y="105833"/>
          <a:ext cx="1676936" cy="1246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1239761</xdr:colOff>
      <xdr:row>24</xdr:row>
      <xdr:rowOff>0</xdr:rowOff>
    </xdr:from>
    <xdr:to>
      <xdr:col>6</xdr:col>
      <xdr:colOff>648909</xdr:colOff>
      <xdr:row>36</xdr:row>
      <xdr:rowOff>12247</xdr:rowOff>
    </xdr:to>
    <xdr:pic>
      <xdr:nvPicPr>
        <xdr:cNvPr id="6" name="Imagen 5">
          <a:extLst>
            <a:ext uri="{FF2B5EF4-FFF2-40B4-BE49-F238E27FC236}">
              <a16:creationId xmlns="" xmlns:a16="http://schemas.microsoft.com/office/drawing/2014/main" id="{AF4263B9-DA0A-4C5F-B500-C33B66E145C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52380" y="13062858"/>
          <a:ext cx="2705100" cy="24796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EMCASERVICIOS\PROCESOS%202021\1.%20SA-MC-06-2020%20OBRA%20PIAMONTE\EV%20REQ%20HAB%20Y%20SEL%20SAMC%20No.%2006-2020%20INFORME%20DEFINI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Exp general"/>
      <sheetName val="Exp especifica"/>
      <sheetName val="PLAZO"/>
      <sheetName val="Cap organizacional"/>
      <sheetName val="CALCULO E, CF, CT, SCE"/>
      <sheetName val="Calificacion Propuestas"/>
      <sheetName val="PRESUPUESTO OFI"/>
      <sheetName val="PRESUPUESTO OFICIAL "/>
    </sheetNames>
    <sheetDataSet>
      <sheetData sheetId="0"/>
      <sheetData sheetId="1">
        <row r="26">
          <cell r="G26">
            <v>1</v>
          </cell>
        </row>
        <row r="27">
          <cell r="A27">
            <v>2</v>
          </cell>
          <cell r="B27" t="str">
            <v>CARMABI CONSTRUCCIONES S.A.S</v>
          </cell>
          <cell r="G27">
            <v>1</v>
          </cell>
        </row>
        <row r="28">
          <cell r="A28">
            <v>3</v>
          </cell>
          <cell r="B28" t="str">
            <v>ELEAZAR GIRALDO FAJURI</v>
          </cell>
        </row>
        <row r="29">
          <cell r="A29">
            <v>4</v>
          </cell>
          <cell r="B29" t="str">
            <v>DIEGO REINEL FERNANDEZ ORDOÑEZ</v>
          </cell>
        </row>
        <row r="30">
          <cell r="A30">
            <v>5</v>
          </cell>
          <cell r="B30" t="str">
            <v>HÉCTOR URIEL CASAS ZUÑIGA</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35"/>
  <sheetViews>
    <sheetView tabSelected="1" view="pageBreakPreview" topLeftCell="E1" zoomScale="50" zoomScaleNormal="85" zoomScaleSheetLayoutView="50" workbookViewId="0">
      <selection activeCell="L12" sqref="L12"/>
    </sheetView>
  </sheetViews>
  <sheetFormatPr baseColWidth="10" defaultColWidth="11.44140625" defaultRowHeight="18" x14ac:dyDescent="0.3"/>
  <cols>
    <col min="1" max="1" width="5.88671875" style="15" customWidth="1"/>
    <col min="2" max="2" width="20.5546875" style="15" customWidth="1"/>
    <col min="3" max="3" width="22.33203125" style="15" customWidth="1"/>
    <col min="4" max="4" width="23" style="15" customWidth="1"/>
    <col min="5" max="5" width="19.33203125" style="15" customWidth="1"/>
    <col min="6" max="6" width="65.109375" style="15" customWidth="1"/>
    <col min="7" max="7" width="69.6640625" style="15" customWidth="1"/>
    <col min="8" max="8" width="81.6640625" style="15" customWidth="1"/>
    <col min="9" max="9" width="45" style="15" customWidth="1"/>
    <col min="10" max="10" width="25.88671875" style="15" customWidth="1"/>
    <col min="11" max="11" width="25.6640625" style="15" customWidth="1"/>
    <col min="12" max="12" width="74.6640625" style="15" customWidth="1"/>
    <col min="13" max="13" width="11.44140625" style="2"/>
    <col min="14" max="14" width="12.88671875" style="2" customWidth="1"/>
    <col min="15" max="15" width="11.44140625" style="2" customWidth="1"/>
    <col min="16" max="16384" width="11.44140625" style="2"/>
  </cols>
  <sheetData>
    <row r="1" spans="1:13" ht="10.5" customHeight="1" x14ac:dyDescent="0.3">
      <c r="A1" s="193"/>
      <c r="B1" s="194"/>
      <c r="C1" s="194"/>
      <c r="D1" s="195"/>
      <c r="E1" s="88"/>
      <c r="F1" s="89"/>
      <c r="G1" s="89"/>
      <c r="H1" s="89"/>
      <c r="I1" s="89"/>
      <c r="J1" s="89"/>
      <c r="K1" s="89"/>
      <c r="L1" s="190"/>
    </row>
    <row r="2" spans="1:13" ht="34.5" customHeight="1" x14ac:dyDescent="0.3">
      <c r="A2" s="196"/>
      <c r="B2" s="197"/>
      <c r="C2" s="197"/>
      <c r="D2" s="198"/>
      <c r="E2" s="202" t="s">
        <v>73</v>
      </c>
      <c r="F2" s="203"/>
      <c r="G2" s="203"/>
      <c r="H2" s="203"/>
      <c r="I2" s="203"/>
      <c r="J2" s="203"/>
      <c r="K2" s="203"/>
      <c r="L2" s="191"/>
    </row>
    <row r="3" spans="1:13" ht="34.5" customHeight="1" x14ac:dyDescent="0.3">
      <c r="A3" s="196"/>
      <c r="B3" s="197"/>
      <c r="C3" s="197"/>
      <c r="D3" s="198"/>
      <c r="E3" s="202" t="s">
        <v>52</v>
      </c>
      <c r="F3" s="203"/>
      <c r="G3" s="203"/>
      <c r="H3" s="203"/>
      <c r="I3" s="203"/>
      <c r="J3" s="203"/>
      <c r="K3" s="203"/>
      <c r="L3" s="191"/>
    </row>
    <row r="4" spans="1:13" ht="34.5" customHeight="1" x14ac:dyDescent="0.3">
      <c r="A4" s="196"/>
      <c r="B4" s="197"/>
      <c r="C4" s="197"/>
      <c r="D4" s="198"/>
      <c r="E4" s="202" t="s">
        <v>78</v>
      </c>
      <c r="F4" s="203"/>
      <c r="G4" s="203"/>
      <c r="H4" s="203"/>
      <c r="I4" s="203"/>
      <c r="J4" s="203"/>
      <c r="K4" s="203"/>
      <c r="L4" s="191"/>
    </row>
    <row r="5" spans="1:13" ht="9" customHeight="1" thickBot="1" x14ac:dyDescent="0.35">
      <c r="A5" s="199"/>
      <c r="B5" s="200"/>
      <c r="C5" s="200"/>
      <c r="D5" s="201"/>
      <c r="E5" s="92"/>
      <c r="F5" s="93"/>
      <c r="G5" s="93"/>
      <c r="H5" s="93"/>
      <c r="I5" s="93"/>
      <c r="J5" s="93"/>
      <c r="K5" s="93"/>
      <c r="L5" s="192"/>
    </row>
    <row r="6" spans="1:13" ht="30" customHeight="1" x14ac:dyDescent="0.3">
      <c r="A6" s="204" t="s">
        <v>5</v>
      </c>
      <c r="B6" s="205"/>
      <c r="C6" s="208" t="s">
        <v>70</v>
      </c>
      <c r="D6" s="209"/>
      <c r="E6" s="209"/>
      <c r="F6" s="209"/>
      <c r="G6" s="209"/>
      <c r="H6" s="209"/>
      <c r="I6" s="209"/>
      <c r="J6" s="209"/>
      <c r="K6" s="209"/>
      <c r="L6" s="210"/>
    </row>
    <row r="7" spans="1:13" ht="30" customHeight="1" thickBot="1" x14ac:dyDescent="0.35">
      <c r="A7" s="206"/>
      <c r="B7" s="207"/>
      <c r="C7" s="211"/>
      <c r="D7" s="212"/>
      <c r="E7" s="212"/>
      <c r="F7" s="212"/>
      <c r="G7" s="212"/>
      <c r="H7" s="212"/>
      <c r="I7" s="212"/>
      <c r="J7" s="212"/>
      <c r="K7" s="212"/>
      <c r="L7" s="213"/>
    </row>
    <row r="8" spans="1:13" ht="5.25" customHeight="1" thickBot="1" x14ac:dyDescent="0.35">
      <c r="A8" s="90"/>
      <c r="L8" s="94"/>
    </row>
    <row r="9" spans="1:13" ht="22.5" customHeight="1" thickBot="1" x14ac:dyDescent="0.35">
      <c r="A9" s="90"/>
      <c r="C9" s="156" t="s">
        <v>16</v>
      </c>
      <c r="D9" s="157"/>
      <c r="E9" s="158"/>
      <c r="F9" s="121">
        <v>45377</v>
      </c>
      <c r="L9" s="91"/>
    </row>
    <row r="10" spans="1:13" ht="22.5" customHeight="1" thickBot="1" x14ac:dyDescent="0.35">
      <c r="A10" s="90"/>
      <c r="C10" s="156" t="s">
        <v>53</v>
      </c>
      <c r="D10" s="157"/>
      <c r="E10" s="158"/>
      <c r="F10" s="121">
        <v>45379</v>
      </c>
      <c r="L10" s="91"/>
    </row>
    <row r="11" spans="1:13" ht="22.5" customHeight="1" thickBot="1" x14ac:dyDescent="0.35">
      <c r="A11" s="90"/>
      <c r="C11" s="159" t="s">
        <v>54</v>
      </c>
      <c r="D11" s="160"/>
      <c r="E11" s="161"/>
      <c r="F11" s="121" t="s">
        <v>55</v>
      </c>
      <c r="L11" s="91"/>
    </row>
    <row r="12" spans="1:13" ht="22.5" customHeight="1" thickBot="1" x14ac:dyDescent="0.35">
      <c r="A12" s="90"/>
      <c r="C12" s="156" t="s">
        <v>17</v>
      </c>
      <c r="D12" s="157"/>
      <c r="E12" s="158"/>
      <c r="F12" s="122" t="s">
        <v>71</v>
      </c>
      <c r="L12" s="91"/>
    </row>
    <row r="13" spans="1:13" ht="22.5" customHeight="1" thickBot="1" x14ac:dyDescent="0.35">
      <c r="A13" s="90"/>
      <c r="C13" s="156" t="s">
        <v>18</v>
      </c>
      <c r="D13" s="157"/>
      <c r="E13" s="158"/>
      <c r="F13" s="123">
        <v>35457719671</v>
      </c>
      <c r="G13" s="114"/>
      <c r="H13" s="17"/>
      <c r="I13" s="17"/>
      <c r="L13" s="94"/>
    </row>
    <row r="14" spans="1:13" ht="22.5" customHeight="1" thickBot="1" x14ac:dyDescent="0.35">
      <c r="A14" s="90"/>
      <c r="C14" s="156" t="s">
        <v>72</v>
      </c>
      <c r="D14" s="157"/>
      <c r="E14" s="158"/>
      <c r="F14" s="123">
        <v>1300000</v>
      </c>
      <c r="L14" s="94"/>
    </row>
    <row r="15" spans="1:13" ht="22.5" customHeight="1" thickBot="1" x14ac:dyDescent="0.35">
      <c r="A15" s="90"/>
      <c r="C15" s="222" t="s">
        <v>19</v>
      </c>
      <c r="D15" s="223"/>
      <c r="E15" s="224"/>
      <c r="F15" s="124">
        <f>+F13/F14</f>
        <v>27275.168977692309</v>
      </c>
      <c r="L15" s="94"/>
    </row>
    <row r="16" spans="1:13" ht="7.5" customHeight="1" thickBot="1" x14ac:dyDescent="0.35">
      <c r="A16" s="90"/>
      <c r="L16" s="94"/>
      <c r="M16"/>
    </row>
    <row r="17" spans="1:23" ht="24" customHeight="1" thickBot="1" x14ac:dyDescent="0.35">
      <c r="A17" s="176" t="s">
        <v>4</v>
      </c>
      <c r="B17" s="177"/>
      <c r="C17" s="177"/>
      <c r="D17" s="177"/>
      <c r="E17" s="177"/>
      <c r="F17" s="177"/>
      <c r="G17" s="177"/>
      <c r="H17" s="177"/>
      <c r="I17" s="177"/>
      <c r="J17" s="177"/>
      <c r="K17" s="177"/>
      <c r="L17" s="178"/>
    </row>
    <row r="18" spans="1:23" s="16" customFormat="1" ht="177" customHeight="1" thickBot="1" x14ac:dyDescent="0.35">
      <c r="A18" s="179" t="s">
        <v>74</v>
      </c>
      <c r="B18" s="180"/>
      <c r="C18" s="180"/>
      <c r="D18" s="180"/>
      <c r="E18" s="180"/>
      <c r="F18" s="180"/>
      <c r="G18" s="180"/>
      <c r="H18" s="180"/>
      <c r="I18" s="180"/>
      <c r="J18" s="180"/>
      <c r="K18" s="180"/>
      <c r="L18" s="181"/>
    </row>
    <row r="19" spans="1:23" s="1" customFormat="1" ht="9" customHeight="1" thickBot="1" x14ac:dyDescent="0.35">
      <c r="A19" s="90"/>
      <c r="B19" s="15"/>
      <c r="C19" s="15"/>
      <c r="D19" s="15"/>
      <c r="E19" s="15"/>
      <c r="F19" s="95"/>
      <c r="G19" s="95"/>
      <c r="H19" s="95"/>
      <c r="I19" s="95"/>
      <c r="J19" s="95"/>
      <c r="K19" s="113"/>
      <c r="L19" s="94"/>
    </row>
    <row r="20" spans="1:23" s="1" customFormat="1" ht="58.5" customHeight="1" thickBot="1" x14ac:dyDescent="0.25">
      <c r="A20" s="182" t="s">
        <v>1</v>
      </c>
      <c r="B20" s="182" t="s">
        <v>0</v>
      </c>
      <c r="C20" s="182" t="s">
        <v>43</v>
      </c>
      <c r="D20" s="182" t="s">
        <v>44</v>
      </c>
      <c r="E20" s="182" t="s">
        <v>3</v>
      </c>
      <c r="F20" s="219" t="s">
        <v>81</v>
      </c>
      <c r="G20" s="220"/>
      <c r="H20" s="221"/>
      <c r="I20" s="142"/>
      <c r="J20" s="174" t="s">
        <v>93</v>
      </c>
      <c r="K20" s="174" t="s">
        <v>15</v>
      </c>
      <c r="L20" s="174" t="s">
        <v>6</v>
      </c>
    </row>
    <row r="21" spans="1:23" s="1" customFormat="1" ht="207" customHeight="1" thickBot="1" x14ac:dyDescent="0.25">
      <c r="A21" s="183"/>
      <c r="B21" s="183"/>
      <c r="C21" s="183"/>
      <c r="D21" s="183"/>
      <c r="E21" s="183"/>
      <c r="F21" s="101" t="s">
        <v>84</v>
      </c>
      <c r="G21" s="101" t="s">
        <v>86</v>
      </c>
      <c r="H21" s="101" t="s">
        <v>92</v>
      </c>
      <c r="I21" s="118" t="s">
        <v>65</v>
      </c>
      <c r="J21" s="175"/>
      <c r="K21" s="175"/>
      <c r="L21" s="175"/>
    </row>
    <row r="22" spans="1:23" s="1" customFormat="1" ht="255" customHeight="1" x14ac:dyDescent="0.2">
      <c r="A22" s="187">
        <v>1</v>
      </c>
      <c r="B22" s="187" t="s">
        <v>75</v>
      </c>
      <c r="C22" s="169" t="s">
        <v>76</v>
      </c>
      <c r="D22" s="127" t="s">
        <v>77</v>
      </c>
      <c r="E22" s="128">
        <v>0.5</v>
      </c>
      <c r="F22" s="129" t="s">
        <v>83</v>
      </c>
      <c r="G22" s="129" t="s">
        <v>80</v>
      </c>
      <c r="H22" s="129" t="s">
        <v>82</v>
      </c>
      <c r="I22" s="172" t="s">
        <v>90</v>
      </c>
      <c r="J22" s="187" t="s">
        <v>91</v>
      </c>
      <c r="K22" s="216" t="s">
        <v>89</v>
      </c>
      <c r="L22" s="165" t="s">
        <v>55</v>
      </c>
      <c r="M22" s="214"/>
      <c r="N22" s="215"/>
    </row>
    <row r="23" spans="1:23" s="1" customFormat="1" ht="399.75" customHeight="1" x14ac:dyDescent="0.2">
      <c r="A23" s="188"/>
      <c r="B23" s="188"/>
      <c r="C23" s="170"/>
      <c r="D23" s="186" t="s">
        <v>79</v>
      </c>
      <c r="E23" s="184">
        <v>0.5</v>
      </c>
      <c r="F23" s="153" t="s">
        <v>85</v>
      </c>
      <c r="G23" s="151" t="s">
        <v>88</v>
      </c>
      <c r="H23" s="154" t="s">
        <v>87</v>
      </c>
      <c r="I23" s="173"/>
      <c r="J23" s="188"/>
      <c r="K23" s="217"/>
      <c r="L23" s="166"/>
      <c r="M23" s="130"/>
      <c r="N23" s="130"/>
    </row>
    <row r="24" spans="1:23" s="133" customFormat="1" ht="72" customHeight="1" thickBot="1" x14ac:dyDescent="0.3">
      <c r="A24" s="189"/>
      <c r="B24" s="189"/>
      <c r="C24" s="171"/>
      <c r="D24" s="171"/>
      <c r="E24" s="185"/>
      <c r="F24" s="152" t="s">
        <v>42</v>
      </c>
      <c r="G24" s="152" t="s">
        <v>42</v>
      </c>
      <c r="H24" s="152" t="s">
        <v>42</v>
      </c>
      <c r="I24" s="132" t="s">
        <v>42</v>
      </c>
      <c r="J24" s="189"/>
      <c r="K24" s="218"/>
      <c r="L24" s="167"/>
      <c r="M24" s="1"/>
      <c r="N24" s="1"/>
      <c r="O24" s="1"/>
      <c r="P24" s="1"/>
      <c r="Q24" s="1"/>
      <c r="R24" s="1"/>
      <c r="S24" s="1"/>
      <c r="T24" s="1"/>
      <c r="U24" s="1"/>
      <c r="V24" s="1"/>
      <c r="W24" s="1"/>
    </row>
    <row r="25" spans="1:23" s="1" customFormat="1" ht="163.5" customHeight="1" thickBot="1" x14ac:dyDescent="0.25">
      <c r="A25" s="162" t="s">
        <v>67</v>
      </c>
      <c r="B25" s="163"/>
      <c r="C25" s="163"/>
      <c r="D25" s="163"/>
      <c r="E25" s="163"/>
      <c r="F25" s="168"/>
      <c r="G25" s="168"/>
      <c r="H25" s="168"/>
      <c r="I25" s="163"/>
      <c r="J25" s="163"/>
      <c r="K25" s="163"/>
      <c r="L25" s="164"/>
    </row>
    <row r="26" spans="1:23" s="1" customFormat="1" ht="147" customHeight="1" thickBot="1" x14ac:dyDescent="0.25">
      <c r="A26" s="162" t="s">
        <v>68</v>
      </c>
      <c r="B26" s="163"/>
      <c r="C26" s="163"/>
      <c r="D26" s="163"/>
      <c r="E26" s="163"/>
      <c r="F26" s="163"/>
      <c r="G26" s="163"/>
      <c r="H26" s="163"/>
      <c r="I26" s="163"/>
      <c r="J26" s="163"/>
      <c r="K26" s="163"/>
      <c r="L26" s="164"/>
    </row>
    <row r="27" spans="1:23" ht="15" customHeight="1" x14ac:dyDescent="0.2">
      <c r="M27" s="1"/>
      <c r="N27" s="1"/>
      <c r="O27" s="1"/>
      <c r="P27" s="1"/>
      <c r="Q27" s="1"/>
      <c r="R27" s="1"/>
      <c r="S27" s="1"/>
      <c r="T27" s="1"/>
      <c r="U27" s="1"/>
      <c r="V27" s="1"/>
      <c r="W27" s="1"/>
    </row>
    <row r="28" spans="1:23" ht="15" customHeight="1" x14ac:dyDescent="0.2">
      <c r="M28" s="1"/>
      <c r="N28" s="1"/>
      <c r="O28" s="1"/>
      <c r="P28" s="1"/>
      <c r="Q28" s="1"/>
      <c r="R28" s="1"/>
      <c r="S28" s="1"/>
      <c r="T28" s="1"/>
      <c r="U28" s="1"/>
      <c r="V28" s="1"/>
      <c r="W28" s="1"/>
    </row>
    <row r="29" spans="1:23" ht="15" customHeight="1" x14ac:dyDescent="0.2">
      <c r="M29" s="1"/>
      <c r="N29" s="1"/>
      <c r="O29" s="1"/>
      <c r="P29" s="1"/>
      <c r="Q29" s="1"/>
      <c r="R29" s="1"/>
      <c r="S29" s="1"/>
      <c r="T29" s="1"/>
      <c r="U29" s="1"/>
      <c r="V29" s="1"/>
      <c r="W29" s="1"/>
    </row>
    <row r="30" spans="1:23" ht="15" customHeight="1" x14ac:dyDescent="0.2">
      <c r="M30" s="1"/>
      <c r="N30" s="1"/>
      <c r="O30" s="1"/>
      <c r="P30" s="1"/>
      <c r="Q30" s="1"/>
      <c r="R30" s="1"/>
      <c r="S30" s="1"/>
      <c r="T30" s="1"/>
      <c r="U30" s="1"/>
      <c r="V30" s="1"/>
      <c r="W30" s="1"/>
    </row>
    <row r="31" spans="1:23" ht="15" customHeight="1" thickBot="1" x14ac:dyDescent="0.25">
      <c r="F31" s="150"/>
      <c r="M31" s="1"/>
      <c r="N31" s="1"/>
      <c r="O31" s="1"/>
      <c r="P31" s="1"/>
      <c r="Q31" s="1"/>
      <c r="R31" s="1"/>
      <c r="S31" s="1"/>
      <c r="T31" s="1"/>
      <c r="U31" s="1"/>
      <c r="V31" s="1"/>
      <c r="W31" s="1"/>
    </row>
    <row r="32" spans="1:23" ht="15" customHeight="1" x14ac:dyDescent="0.2">
      <c r="F32" s="149" t="s">
        <v>114</v>
      </c>
      <c r="M32" s="1"/>
      <c r="N32" s="1"/>
      <c r="O32" s="1"/>
      <c r="P32" s="1"/>
      <c r="Q32" s="1"/>
      <c r="R32" s="1"/>
      <c r="S32" s="1"/>
      <c r="T32" s="1"/>
      <c r="U32" s="1"/>
      <c r="V32" s="1"/>
      <c r="W32" s="1"/>
    </row>
    <row r="33" spans="1:23" ht="22.5" customHeight="1" x14ac:dyDescent="0.2">
      <c r="F33" s="15" t="s">
        <v>115</v>
      </c>
      <c r="M33" s="1"/>
      <c r="N33" s="1"/>
      <c r="O33" s="1"/>
      <c r="P33" s="1"/>
      <c r="Q33" s="1"/>
      <c r="R33" s="1"/>
      <c r="S33" s="1"/>
      <c r="T33" s="1"/>
      <c r="U33" s="1"/>
      <c r="V33" s="1"/>
      <c r="W33" s="1"/>
    </row>
    <row r="34" spans="1:23" s="3" customFormat="1" ht="22.5" customHeight="1" thickBot="1" x14ac:dyDescent="0.25">
      <c r="A34" s="15"/>
      <c r="B34" s="15"/>
      <c r="C34" s="15"/>
      <c r="D34" s="15"/>
      <c r="E34" s="15"/>
      <c r="F34" s="15"/>
      <c r="G34" s="15"/>
      <c r="H34" s="15"/>
      <c r="I34" s="15"/>
      <c r="J34" s="15"/>
      <c r="K34" s="15"/>
      <c r="L34" s="15"/>
      <c r="M34" s="1"/>
      <c r="N34" s="1"/>
      <c r="O34" s="1"/>
      <c r="P34" s="1"/>
      <c r="Q34" s="1"/>
      <c r="R34" s="1"/>
      <c r="S34" s="1"/>
      <c r="T34" s="1"/>
      <c r="U34" s="1"/>
      <c r="V34" s="1"/>
      <c r="W34" s="1"/>
    </row>
    <row r="35" spans="1:23" x14ac:dyDescent="0.2">
      <c r="M35" s="1"/>
      <c r="N35" s="1"/>
      <c r="O35" s="1"/>
      <c r="P35" s="1"/>
      <c r="Q35" s="1"/>
      <c r="R35" s="1"/>
      <c r="S35" s="1"/>
      <c r="T35" s="1"/>
      <c r="U35" s="1"/>
      <c r="V35" s="1"/>
      <c r="W35" s="1"/>
    </row>
  </sheetData>
  <mergeCells count="37">
    <mergeCell ref="A6:B7"/>
    <mergeCell ref="C6:L7"/>
    <mergeCell ref="M22:N22"/>
    <mergeCell ref="L20:L21"/>
    <mergeCell ref="A22:A24"/>
    <mergeCell ref="B22:B24"/>
    <mergeCell ref="K22:K24"/>
    <mergeCell ref="A20:A21"/>
    <mergeCell ref="B20:B21"/>
    <mergeCell ref="F20:H20"/>
    <mergeCell ref="E20:E21"/>
    <mergeCell ref="D20:D21"/>
    <mergeCell ref="C15:E15"/>
    <mergeCell ref="C9:E9"/>
    <mergeCell ref="C10:E10"/>
    <mergeCell ref="C12:E12"/>
    <mergeCell ref="L1:L5"/>
    <mergeCell ref="A1:D5"/>
    <mergeCell ref="E2:K2"/>
    <mergeCell ref="E3:K3"/>
    <mergeCell ref="E4:K4"/>
    <mergeCell ref="C13:E13"/>
    <mergeCell ref="C14:E14"/>
    <mergeCell ref="C11:E11"/>
    <mergeCell ref="A26:L26"/>
    <mergeCell ref="L22:L24"/>
    <mergeCell ref="A25:L25"/>
    <mergeCell ref="C22:C24"/>
    <mergeCell ref="I22:I23"/>
    <mergeCell ref="J20:J21"/>
    <mergeCell ref="K20:K21"/>
    <mergeCell ref="A17:L17"/>
    <mergeCell ref="A18:L18"/>
    <mergeCell ref="C20:C21"/>
    <mergeCell ref="E23:E24"/>
    <mergeCell ref="D23:D24"/>
    <mergeCell ref="J22:J24"/>
  </mergeCells>
  <pageMargins left="0.27559055118110237" right="0.11811023622047245" top="0.27559055118110237" bottom="0.23622047244094491" header="0.31496062992125984" footer="0.31496062992125984"/>
  <pageSetup scale="2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G37"/>
  <sheetViews>
    <sheetView view="pageBreakPreview" topLeftCell="A5" zoomScale="49" zoomScaleNormal="85" zoomScaleSheetLayoutView="49" workbookViewId="0">
      <selection activeCell="P25" sqref="P25"/>
    </sheetView>
  </sheetViews>
  <sheetFormatPr baseColWidth="10" defaultColWidth="11.44140625" defaultRowHeight="18" x14ac:dyDescent="0.3"/>
  <cols>
    <col min="1" max="1" width="6.109375" style="15" customWidth="1"/>
    <col min="2" max="2" width="23.44140625" style="15" customWidth="1"/>
    <col min="3" max="3" width="27.6640625" style="15" customWidth="1"/>
    <col min="4" max="4" width="22.109375" style="15" customWidth="1"/>
    <col min="5" max="5" width="18.5546875" style="15" customWidth="1"/>
    <col min="6" max="6" width="28.88671875" style="15" customWidth="1"/>
    <col min="7" max="7" width="19.6640625" style="15" customWidth="1"/>
    <col min="8" max="8" width="28.5546875" style="15" customWidth="1"/>
    <col min="9" max="9" width="18.33203125" style="149" customWidth="1"/>
    <col min="10" max="10" width="28.5546875" style="149" customWidth="1"/>
    <col min="11" max="11" width="23.44140625" style="149" customWidth="1"/>
    <col min="12" max="12" width="28.5546875" style="149" customWidth="1"/>
    <col min="13" max="13" width="25.109375" style="149" customWidth="1"/>
    <col min="14" max="14" width="28.5546875" style="149" customWidth="1"/>
    <col min="15" max="15" width="21.5546875" style="15" customWidth="1"/>
    <col min="16" max="16" width="28.5546875" style="15" customWidth="1"/>
    <col min="17" max="17" width="25.109375" style="15" customWidth="1"/>
    <col min="18" max="19" width="11.44140625" style="2"/>
    <col min="20" max="20" width="21.88671875" style="2" customWidth="1"/>
    <col min="21" max="16384" width="11.44140625" style="2"/>
  </cols>
  <sheetData>
    <row r="1" spans="1:18" ht="10.5" customHeight="1" x14ac:dyDescent="0.3">
      <c r="A1" s="193"/>
      <c r="B1" s="194"/>
      <c r="C1" s="195"/>
      <c r="D1" s="88"/>
      <c r="E1" s="89"/>
      <c r="F1" s="89"/>
      <c r="G1" s="89"/>
      <c r="H1" s="89"/>
      <c r="I1" s="148"/>
      <c r="J1" s="148"/>
      <c r="K1" s="148"/>
      <c r="L1" s="148"/>
      <c r="M1" s="148"/>
      <c r="N1" s="148"/>
      <c r="O1" s="89"/>
      <c r="P1" s="89"/>
      <c r="Q1" s="190"/>
    </row>
    <row r="2" spans="1:18" ht="33" customHeight="1" x14ac:dyDescent="0.3">
      <c r="A2" s="196"/>
      <c r="B2" s="197"/>
      <c r="C2" s="198"/>
      <c r="D2" s="202" t="str">
        <f>+'EXPER. GENERAL'!E2</f>
        <v>HOSPITAL GUAPI - EMPRESA SOCIAL DEL ESTADO</v>
      </c>
      <c r="E2" s="203"/>
      <c r="F2" s="203"/>
      <c r="G2" s="203"/>
      <c r="H2" s="203"/>
      <c r="I2" s="203"/>
      <c r="J2" s="203"/>
      <c r="K2" s="203"/>
      <c r="L2" s="203"/>
      <c r="M2" s="203"/>
      <c r="N2" s="203"/>
      <c r="O2" s="203"/>
      <c r="P2" s="203"/>
      <c r="Q2" s="191"/>
    </row>
    <row r="3" spans="1:18" ht="33" customHeight="1" x14ac:dyDescent="0.3">
      <c r="A3" s="196"/>
      <c r="B3" s="197"/>
      <c r="C3" s="198"/>
      <c r="D3" s="202" t="str">
        <f>+'EXPER. GENERAL'!E3</f>
        <v>INFORME TÉCNICO PRELIMINAR</v>
      </c>
      <c r="E3" s="203"/>
      <c r="F3" s="203"/>
      <c r="G3" s="203"/>
      <c r="H3" s="203"/>
      <c r="I3" s="203"/>
      <c r="J3" s="203"/>
      <c r="K3" s="203"/>
      <c r="L3" s="203"/>
      <c r="M3" s="203"/>
      <c r="N3" s="203"/>
      <c r="O3" s="203"/>
      <c r="P3" s="203"/>
      <c r="Q3" s="191"/>
    </row>
    <row r="4" spans="1:18" ht="33" customHeight="1" x14ac:dyDescent="0.3">
      <c r="A4" s="196"/>
      <c r="B4" s="197"/>
      <c r="C4" s="198"/>
      <c r="D4" s="202" t="str">
        <f>+'EXPER. GENERAL'!E4</f>
        <v>CONVOCATORIA PÚBLICA No. 01 DE 2024</v>
      </c>
      <c r="E4" s="203"/>
      <c r="F4" s="203"/>
      <c r="G4" s="203"/>
      <c r="H4" s="203"/>
      <c r="I4" s="203"/>
      <c r="J4" s="203"/>
      <c r="K4" s="203"/>
      <c r="L4" s="203"/>
      <c r="M4" s="203"/>
      <c r="N4" s="203"/>
      <c r="O4" s="203"/>
      <c r="P4" s="203"/>
      <c r="Q4" s="191"/>
    </row>
    <row r="5" spans="1:18" ht="9" customHeight="1" thickBot="1" x14ac:dyDescent="0.35">
      <c r="A5" s="199"/>
      <c r="B5" s="200"/>
      <c r="C5" s="201"/>
      <c r="D5" s="92"/>
      <c r="E5" s="93"/>
      <c r="F5" s="93"/>
      <c r="G5" s="93"/>
      <c r="H5" s="93"/>
      <c r="I5" s="150"/>
      <c r="J5" s="150"/>
      <c r="K5" s="150"/>
      <c r="L5" s="150"/>
      <c r="M5" s="150"/>
      <c r="N5" s="150"/>
      <c r="O5" s="93"/>
      <c r="P5" s="93"/>
      <c r="Q5" s="192"/>
    </row>
    <row r="6" spans="1:18" ht="33" customHeight="1" x14ac:dyDescent="0.3">
      <c r="A6" s="204" t="s">
        <v>5</v>
      </c>
      <c r="B6" s="205"/>
      <c r="C6" s="208" t="str">
        <f>+'EXPER. GENERAL'!$C$6</f>
        <v>EL CONTRATISTA SE OBLIGA CON LA EMPRESA SOCIAL DEL ESTADO GUAPI A REALIZAR LA REPOSICIÓN DE LA INFRAESTRUCTURA FISICA DEL HOSPITAL PERTENECIENTE A LA ESE GUAPI DE ACUERDO A LOS REQUERIMIENTOS TECNICOS DESCRITOS EN EL PRESENTE PROCESO DE CONTRATACION”</v>
      </c>
      <c r="D6" s="209"/>
      <c r="E6" s="209"/>
      <c r="F6" s="209"/>
      <c r="G6" s="209"/>
      <c r="H6" s="209"/>
      <c r="I6" s="209"/>
      <c r="J6" s="209"/>
      <c r="K6" s="209"/>
      <c r="L6" s="209"/>
      <c r="M6" s="209"/>
      <c r="N6" s="209"/>
      <c r="O6" s="209"/>
      <c r="P6" s="209"/>
      <c r="Q6" s="210"/>
    </row>
    <row r="7" spans="1:18" ht="33" customHeight="1" thickBot="1" x14ac:dyDescent="0.35">
      <c r="A7" s="206"/>
      <c r="B7" s="207"/>
      <c r="C7" s="211"/>
      <c r="D7" s="212"/>
      <c r="E7" s="212"/>
      <c r="F7" s="212"/>
      <c r="G7" s="212"/>
      <c r="H7" s="212"/>
      <c r="I7" s="212"/>
      <c r="J7" s="212"/>
      <c r="K7" s="212"/>
      <c r="L7" s="212"/>
      <c r="M7" s="212"/>
      <c r="N7" s="212"/>
      <c r="O7" s="212"/>
      <c r="P7" s="212"/>
      <c r="Q7" s="213"/>
    </row>
    <row r="8" spans="1:18" ht="5.25" customHeight="1" thickBot="1" x14ac:dyDescent="0.35">
      <c r="A8" s="90"/>
      <c r="Q8" s="94"/>
    </row>
    <row r="9" spans="1:18" ht="24" thickBot="1" x14ac:dyDescent="0.35">
      <c r="A9" s="90"/>
      <c r="C9" s="240" t="s">
        <v>16</v>
      </c>
      <c r="D9" s="241"/>
      <c r="E9" s="242"/>
      <c r="F9" s="115">
        <f>+'EXPER. GENERAL'!$F$9</f>
        <v>45377</v>
      </c>
      <c r="Q9" s="91"/>
    </row>
    <row r="10" spans="1:18" ht="24" thickBot="1" x14ac:dyDescent="0.35">
      <c r="A10" s="90"/>
      <c r="C10" s="240" t="s">
        <v>53</v>
      </c>
      <c r="D10" s="241"/>
      <c r="E10" s="242"/>
      <c r="F10" s="115">
        <f>+'EXPER. GENERAL'!$F$10</f>
        <v>45379</v>
      </c>
      <c r="Q10" s="91"/>
    </row>
    <row r="11" spans="1:18" ht="24" thickBot="1" x14ac:dyDescent="0.35">
      <c r="A11" s="90"/>
      <c r="C11" s="240" t="s">
        <v>54</v>
      </c>
      <c r="D11" s="241"/>
      <c r="E11" s="242"/>
      <c r="F11" s="115" t="str">
        <f>+'EXPER. GENERAL'!$F$11</f>
        <v>N/A</v>
      </c>
      <c r="Q11" s="91"/>
    </row>
    <row r="12" spans="1:18" ht="22.5" customHeight="1" thickBot="1" x14ac:dyDescent="0.35">
      <c r="A12" s="90"/>
      <c r="C12" s="240" t="s">
        <v>17</v>
      </c>
      <c r="D12" s="241"/>
      <c r="E12" s="242"/>
      <c r="F12" s="115" t="str">
        <f>+'EXPER. GENERAL'!$F$12</f>
        <v>30 meses</v>
      </c>
      <c r="Q12" s="91"/>
    </row>
    <row r="13" spans="1:18" ht="22.5" customHeight="1" thickBot="1" x14ac:dyDescent="0.35">
      <c r="A13" s="90"/>
      <c r="C13" s="240" t="s">
        <v>18</v>
      </c>
      <c r="D13" s="241"/>
      <c r="E13" s="242"/>
      <c r="F13" s="119">
        <f>+'EXPER. GENERAL'!F13</f>
        <v>35457719671</v>
      </c>
      <c r="Q13" s="94"/>
    </row>
    <row r="14" spans="1:18" ht="22.5" customHeight="1" thickBot="1" x14ac:dyDescent="0.35">
      <c r="A14" s="90"/>
      <c r="C14" s="240" t="s">
        <v>56</v>
      </c>
      <c r="D14" s="241"/>
      <c r="E14" s="242"/>
      <c r="F14" s="119">
        <f>+'EXPER. GENERAL'!$F$14</f>
        <v>1300000</v>
      </c>
      <c r="Q14" s="94"/>
    </row>
    <row r="15" spans="1:18" ht="22.5" customHeight="1" thickBot="1" x14ac:dyDescent="0.35">
      <c r="A15" s="90"/>
      <c r="C15" s="240" t="s">
        <v>19</v>
      </c>
      <c r="D15" s="241"/>
      <c r="E15" s="242"/>
      <c r="F15" s="116">
        <f>+F13/F14</f>
        <v>27275.168977692309</v>
      </c>
      <c r="Q15" s="94"/>
    </row>
    <row r="16" spans="1:18" ht="7.5" customHeight="1" thickBot="1" x14ac:dyDescent="0.35">
      <c r="A16" s="90"/>
      <c r="Q16" s="94"/>
      <c r="R16"/>
    </row>
    <row r="17" spans="1:33" ht="24" thickBot="1" x14ac:dyDescent="0.35">
      <c r="A17" s="219" t="s">
        <v>64</v>
      </c>
      <c r="B17" s="220"/>
      <c r="C17" s="220"/>
      <c r="D17" s="220"/>
      <c r="E17" s="220"/>
      <c r="F17" s="220"/>
      <c r="G17" s="220"/>
      <c r="H17" s="220"/>
      <c r="I17" s="220"/>
      <c r="J17" s="220"/>
      <c r="K17" s="220"/>
      <c r="L17" s="220"/>
      <c r="M17" s="220"/>
      <c r="N17" s="220"/>
      <c r="O17" s="220"/>
      <c r="P17" s="220"/>
      <c r="Q17" s="221"/>
    </row>
    <row r="18" spans="1:33" s="1" customFormat="1" ht="9" customHeight="1" thickBot="1" x14ac:dyDescent="0.35">
      <c r="A18" s="90"/>
      <c r="B18" s="15"/>
      <c r="C18" s="15"/>
      <c r="D18" s="15"/>
      <c r="E18" s="95"/>
      <c r="F18" s="95"/>
      <c r="G18" s="95"/>
      <c r="H18" s="95"/>
      <c r="I18" s="95"/>
      <c r="J18" s="95"/>
      <c r="K18" s="95"/>
      <c r="L18" s="95"/>
      <c r="M18" s="95"/>
      <c r="N18" s="95"/>
      <c r="O18" s="95"/>
      <c r="P18" s="95"/>
      <c r="Q18" s="94"/>
    </row>
    <row r="19" spans="1:33" s="1" customFormat="1" ht="66" customHeight="1" x14ac:dyDescent="0.2">
      <c r="A19" s="174" t="s">
        <v>1</v>
      </c>
      <c r="B19" s="174" t="s">
        <v>0</v>
      </c>
      <c r="C19" s="174" t="s">
        <v>2</v>
      </c>
      <c r="D19" s="174" t="s">
        <v>3</v>
      </c>
      <c r="E19" s="174" t="s">
        <v>46</v>
      </c>
      <c r="F19" s="174" t="s">
        <v>47</v>
      </c>
      <c r="G19" s="174" t="s">
        <v>48</v>
      </c>
      <c r="H19" s="174" t="s">
        <v>47</v>
      </c>
      <c r="I19" s="174" t="s">
        <v>113</v>
      </c>
      <c r="J19" s="174" t="s">
        <v>47</v>
      </c>
      <c r="K19" s="174" t="s">
        <v>111</v>
      </c>
      <c r="L19" s="174" t="s">
        <v>47</v>
      </c>
      <c r="M19" s="174" t="s">
        <v>110</v>
      </c>
      <c r="N19" s="174" t="s">
        <v>47</v>
      </c>
      <c r="O19" s="174" t="s">
        <v>95</v>
      </c>
      <c r="P19" s="174" t="s">
        <v>47</v>
      </c>
      <c r="Q19" s="174" t="s">
        <v>6</v>
      </c>
    </row>
    <row r="20" spans="1:33" s="1" customFormat="1" ht="66" customHeight="1" thickBot="1" x14ac:dyDescent="0.25">
      <c r="A20" s="175"/>
      <c r="B20" s="175"/>
      <c r="C20" s="175"/>
      <c r="D20" s="175"/>
      <c r="E20" s="175"/>
      <c r="F20" s="175"/>
      <c r="G20" s="175"/>
      <c r="H20" s="175"/>
      <c r="I20" s="175"/>
      <c r="J20" s="175"/>
      <c r="K20" s="175"/>
      <c r="L20" s="175"/>
      <c r="M20" s="175"/>
      <c r="N20" s="175"/>
      <c r="O20" s="175"/>
      <c r="P20" s="175"/>
      <c r="Q20" s="175"/>
    </row>
    <row r="21" spans="1:33" s="1" customFormat="1" ht="123.75" customHeight="1" x14ac:dyDescent="0.2">
      <c r="A21" s="174">
        <v>1</v>
      </c>
      <c r="B21" s="174" t="str">
        <f>+'EXPER. GENERAL'!B22</f>
        <v>CONSORCIO HOSPITAL GUAPI 2024</v>
      </c>
      <c r="C21" s="134" t="str">
        <f>+'EXPER. GENERAL'!D22</f>
        <v>CARLOS MANUEL OLARTE MARTINEZ</v>
      </c>
      <c r="D21" s="135">
        <f>+'EXPER. GENERAL'!E22</f>
        <v>0.5</v>
      </c>
      <c r="E21" s="238" t="s">
        <v>77</v>
      </c>
      <c r="F21" s="235" t="s">
        <v>42</v>
      </c>
      <c r="G21" s="238" t="s">
        <v>96</v>
      </c>
      <c r="H21" s="235" t="s">
        <v>42</v>
      </c>
      <c r="I21" s="238" t="s">
        <v>108</v>
      </c>
      <c r="J21" s="235" t="s">
        <v>42</v>
      </c>
      <c r="K21" s="238" t="s">
        <v>112</v>
      </c>
      <c r="L21" s="235" t="s">
        <v>42</v>
      </c>
      <c r="M21" s="238" t="s">
        <v>109</v>
      </c>
      <c r="N21" s="235" t="s">
        <v>42</v>
      </c>
      <c r="O21" s="233" t="s">
        <v>94</v>
      </c>
      <c r="P21" s="235" t="s">
        <v>42</v>
      </c>
      <c r="Q21" s="231" t="s">
        <v>55</v>
      </c>
      <c r="R21" s="214"/>
      <c r="S21" s="215"/>
      <c r="T21" s="215"/>
      <c r="X21" s="136"/>
    </row>
    <row r="22" spans="1:33" s="1" customFormat="1" ht="132" customHeight="1" thickBot="1" x14ac:dyDescent="0.25">
      <c r="A22" s="237"/>
      <c r="B22" s="237"/>
      <c r="C22" s="137" t="str">
        <f>+'EXPER. GENERAL'!D23</f>
        <v>CONSTRUCTORA NBI S.A. RPL  LINA MARIA LUJAN FEIJOO</v>
      </c>
      <c r="D22" s="138">
        <f>+'EXPER. GENERAL'!E23</f>
        <v>0.5</v>
      </c>
      <c r="E22" s="239"/>
      <c r="F22" s="236"/>
      <c r="G22" s="239"/>
      <c r="H22" s="236"/>
      <c r="I22" s="243"/>
      <c r="J22" s="236"/>
      <c r="K22" s="243"/>
      <c r="L22" s="236"/>
      <c r="M22" s="243"/>
      <c r="N22" s="236"/>
      <c r="O22" s="234"/>
      <c r="P22" s="236"/>
      <c r="Q22" s="232"/>
      <c r="R22" s="130"/>
      <c r="S22" s="130"/>
      <c r="T22" s="130"/>
    </row>
    <row r="23" spans="1:33" ht="54" customHeight="1" x14ac:dyDescent="0.2">
      <c r="A23" s="225" t="s">
        <v>66</v>
      </c>
      <c r="B23" s="226"/>
      <c r="C23" s="226"/>
      <c r="D23" s="226"/>
      <c r="E23" s="226"/>
      <c r="F23" s="226"/>
      <c r="G23" s="226"/>
      <c r="H23" s="226"/>
      <c r="I23" s="226"/>
      <c r="J23" s="226"/>
      <c r="K23" s="226"/>
      <c r="L23" s="226"/>
      <c r="M23" s="226"/>
      <c r="N23" s="226"/>
      <c r="O23" s="226"/>
      <c r="P23" s="226"/>
      <c r="Q23" s="227"/>
      <c r="R23" s="1"/>
      <c r="S23" s="1"/>
      <c r="T23" s="1"/>
      <c r="U23" s="1"/>
      <c r="V23" s="1"/>
      <c r="W23" s="1"/>
      <c r="X23" s="1"/>
      <c r="Y23" s="1"/>
      <c r="Z23" s="1"/>
      <c r="AA23" s="1"/>
      <c r="AB23" s="1"/>
      <c r="AC23" s="1"/>
      <c r="AD23" s="1"/>
      <c r="AE23" s="1"/>
      <c r="AF23" s="1"/>
      <c r="AG23" s="1"/>
    </row>
    <row r="24" spans="1:33" ht="54" customHeight="1" thickBot="1" x14ac:dyDescent="0.25">
      <c r="A24" s="228"/>
      <c r="B24" s="229"/>
      <c r="C24" s="229"/>
      <c r="D24" s="229"/>
      <c r="E24" s="229"/>
      <c r="F24" s="229"/>
      <c r="G24" s="229"/>
      <c r="H24" s="229"/>
      <c r="I24" s="229"/>
      <c r="J24" s="229"/>
      <c r="K24" s="229"/>
      <c r="L24" s="229"/>
      <c r="M24" s="229"/>
      <c r="N24" s="229"/>
      <c r="O24" s="229"/>
      <c r="P24" s="229"/>
      <c r="Q24" s="230"/>
      <c r="R24" s="1"/>
      <c r="S24" s="1"/>
      <c r="T24" s="1"/>
      <c r="U24" s="1"/>
      <c r="V24" s="1"/>
      <c r="W24" s="1"/>
      <c r="X24" s="1"/>
      <c r="Y24" s="1"/>
      <c r="Z24" s="1"/>
      <c r="AA24" s="1"/>
      <c r="AB24" s="1"/>
      <c r="AC24" s="1"/>
      <c r="AD24" s="1"/>
      <c r="AE24" s="1"/>
      <c r="AF24" s="1"/>
      <c r="AG24" s="1"/>
    </row>
    <row r="25" spans="1:33" ht="15" customHeight="1" x14ac:dyDescent="0.2">
      <c r="A25" s="90"/>
      <c r="C25" s="96"/>
      <c r="D25" s="96"/>
      <c r="E25" s="96"/>
      <c r="F25" s="96"/>
      <c r="H25" s="97"/>
      <c r="I25" s="97"/>
      <c r="J25" s="97"/>
      <c r="K25" s="97"/>
      <c r="L25" s="97"/>
      <c r="M25" s="97"/>
      <c r="N25" s="97"/>
      <c r="O25" s="97"/>
      <c r="P25" s="97"/>
      <c r="Q25" s="98"/>
      <c r="R25" s="1"/>
      <c r="S25" s="1"/>
      <c r="T25" s="1"/>
      <c r="U25" s="1"/>
      <c r="V25" s="1"/>
      <c r="W25" s="1"/>
      <c r="X25" s="1"/>
      <c r="Y25" s="1"/>
      <c r="Z25" s="1"/>
      <c r="AA25" s="1"/>
      <c r="AB25" s="1"/>
      <c r="AC25" s="1"/>
      <c r="AD25" s="1"/>
      <c r="AE25" s="1"/>
      <c r="AF25" s="1"/>
      <c r="AG25" s="1"/>
    </row>
    <row r="26" spans="1:33" ht="15" customHeight="1" x14ac:dyDescent="0.2">
      <c r="A26" s="90"/>
      <c r="C26" s="96"/>
      <c r="D26" s="96"/>
      <c r="E26" s="96"/>
      <c r="F26" s="96"/>
      <c r="H26" s="97"/>
      <c r="I26" s="97"/>
      <c r="J26" s="97"/>
      <c r="K26" s="97"/>
      <c r="L26" s="97"/>
      <c r="M26" s="97"/>
      <c r="N26" s="97"/>
      <c r="O26" s="97"/>
      <c r="P26" s="97"/>
      <c r="Q26" s="98"/>
      <c r="R26" s="1"/>
      <c r="S26" s="1"/>
      <c r="T26" s="1"/>
      <c r="U26" s="1"/>
      <c r="V26" s="1"/>
      <c r="W26" s="1"/>
      <c r="X26" s="1"/>
      <c r="Y26" s="1"/>
      <c r="Z26" s="1"/>
      <c r="AA26" s="1"/>
      <c r="AB26" s="1"/>
      <c r="AC26" s="1"/>
      <c r="AD26" s="1"/>
      <c r="AE26" s="1"/>
      <c r="AF26" s="1"/>
      <c r="AG26" s="1"/>
    </row>
    <row r="27" spans="1:33" ht="15" customHeight="1" x14ac:dyDescent="0.2">
      <c r="A27" s="90"/>
      <c r="C27" s="96"/>
      <c r="D27" s="96"/>
      <c r="E27" s="96"/>
      <c r="F27" s="96"/>
      <c r="H27" s="97"/>
      <c r="I27" s="97"/>
      <c r="J27" s="97"/>
      <c r="K27" s="97"/>
      <c r="L27" s="97"/>
      <c r="M27" s="97"/>
      <c r="N27" s="97"/>
      <c r="O27" s="97"/>
      <c r="P27" s="97"/>
      <c r="Q27" s="98"/>
      <c r="R27" s="1"/>
      <c r="S27" s="1"/>
      <c r="T27" s="1"/>
      <c r="U27" s="1"/>
      <c r="V27" s="1"/>
      <c r="W27" s="1"/>
      <c r="X27" s="1"/>
      <c r="Y27" s="1"/>
      <c r="Z27" s="1"/>
      <c r="AA27" s="1"/>
      <c r="AB27" s="1"/>
      <c r="AC27" s="1"/>
      <c r="AD27" s="1"/>
      <c r="AE27" s="1"/>
      <c r="AF27" s="1"/>
      <c r="AG27" s="1"/>
    </row>
    <row r="28" spans="1:33" ht="15" customHeight="1" x14ac:dyDescent="0.2">
      <c r="A28" s="90"/>
      <c r="C28" s="96"/>
      <c r="D28" s="96"/>
      <c r="E28" s="96"/>
      <c r="F28" s="96"/>
      <c r="H28" s="97"/>
      <c r="I28" s="97"/>
      <c r="J28" s="97"/>
      <c r="K28" s="97"/>
      <c r="L28" s="97"/>
      <c r="M28" s="97"/>
      <c r="N28" s="97"/>
      <c r="O28" s="97"/>
      <c r="P28" s="97"/>
      <c r="Q28" s="98"/>
      <c r="R28" s="1"/>
      <c r="S28" s="1"/>
      <c r="T28" s="1"/>
      <c r="U28" s="1"/>
      <c r="V28" s="1"/>
      <c r="W28" s="1"/>
      <c r="X28" s="1"/>
      <c r="Y28" s="1"/>
      <c r="Z28" s="1"/>
      <c r="AA28" s="1"/>
      <c r="AB28" s="1"/>
      <c r="AC28" s="1"/>
      <c r="AD28" s="1"/>
      <c r="AE28" s="1"/>
      <c r="AF28" s="1"/>
      <c r="AG28" s="1"/>
    </row>
    <row r="29" spans="1:33" ht="15" customHeight="1" x14ac:dyDescent="0.2">
      <c r="A29" s="90"/>
      <c r="C29" s="96"/>
      <c r="D29" s="96"/>
      <c r="E29" s="96"/>
      <c r="F29" s="96"/>
      <c r="H29" s="97"/>
      <c r="I29" s="97"/>
      <c r="J29" s="97"/>
      <c r="K29" s="97"/>
      <c r="L29" s="97"/>
      <c r="M29" s="97"/>
      <c r="N29" s="97"/>
      <c r="O29" s="97"/>
      <c r="P29" s="97"/>
      <c r="Q29" s="98"/>
      <c r="R29" s="1"/>
      <c r="S29" s="1"/>
      <c r="T29" s="1"/>
      <c r="U29" s="1"/>
      <c r="V29" s="1"/>
      <c r="W29" s="1"/>
      <c r="X29" s="1"/>
      <c r="Y29" s="1"/>
      <c r="Z29" s="1"/>
      <c r="AA29" s="1"/>
      <c r="AB29" s="1"/>
      <c r="AC29" s="1"/>
      <c r="AD29" s="1"/>
      <c r="AE29" s="1"/>
      <c r="AF29" s="1"/>
      <c r="AG29" s="1"/>
    </row>
    <row r="30" spans="1:33" ht="15" customHeight="1" x14ac:dyDescent="0.2">
      <c r="A30" s="90"/>
      <c r="C30" s="96"/>
      <c r="D30" s="96"/>
      <c r="E30" s="96"/>
      <c r="F30" s="96"/>
      <c r="H30" s="97"/>
      <c r="I30" s="97"/>
      <c r="J30" s="97"/>
      <c r="K30" s="97"/>
      <c r="L30" s="97"/>
      <c r="M30" s="97"/>
      <c r="N30" s="97"/>
      <c r="O30" s="97"/>
      <c r="P30" s="97"/>
      <c r="Q30" s="98"/>
      <c r="R30" s="1"/>
      <c r="S30" s="1"/>
      <c r="T30" s="1"/>
      <c r="U30" s="1"/>
      <c r="V30" s="1"/>
      <c r="W30" s="1"/>
      <c r="X30" s="1"/>
      <c r="Y30" s="1"/>
      <c r="Z30" s="1"/>
      <c r="AA30" s="1"/>
      <c r="AB30" s="1"/>
      <c r="AC30" s="1"/>
      <c r="AD30" s="1"/>
      <c r="AE30" s="1"/>
      <c r="AF30" s="1"/>
      <c r="AG30" s="1"/>
    </row>
    <row r="31" spans="1:33" ht="15" customHeight="1" x14ac:dyDescent="0.2">
      <c r="A31" s="90"/>
      <c r="C31" s="96"/>
      <c r="D31" s="96"/>
      <c r="E31" s="96"/>
      <c r="F31" s="96"/>
      <c r="H31" s="97"/>
      <c r="I31" s="97"/>
      <c r="J31" s="97"/>
      <c r="K31" s="97"/>
      <c r="L31" s="97"/>
      <c r="M31" s="97"/>
      <c r="N31" s="97"/>
      <c r="O31" s="97"/>
      <c r="P31" s="97"/>
      <c r="Q31" s="98"/>
      <c r="R31" s="1"/>
      <c r="S31" s="1"/>
      <c r="T31" s="1"/>
      <c r="U31" s="1"/>
      <c r="V31" s="1"/>
      <c r="W31" s="1"/>
      <c r="X31" s="1"/>
      <c r="Y31" s="1"/>
      <c r="Z31" s="1"/>
      <c r="AA31" s="1"/>
      <c r="AB31" s="1"/>
      <c r="AC31" s="1"/>
      <c r="AD31" s="1"/>
      <c r="AE31" s="1"/>
      <c r="AF31" s="1"/>
      <c r="AG31" s="1"/>
    </row>
    <row r="32" spans="1:33" ht="15" customHeight="1" thickBot="1" x14ac:dyDescent="0.25">
      <c r="A32" s="90"/>
      <c r="C32" s="96"/>
      <c r="D32" s="96"/>
      <c r="E32" s="96"/>
      <c r="F32" s="150"/>
      <c r="H32" s="97"/>
      <c r="I32" s="97"/>
      <c r="J32" s="97"/>
      <c r="K32" s="97"/>
      <c r="L32" s="97"/>
      <c r="M32" s="97"/>
      <c r="N32" s="97"/>
      <c r="O32" s="97"/>
      <c r="P32" s="97"/>
      <c r="Q32" s="98"/>
      <c r="R32" s="1"/>
      <c r="S32" s="1"/>
      <c r="T32" s="1"/>
      <c r="U32" s="1"/>
      <c r="V32" s="1"/>
      <c r="W32" s="1"/>
      <c r="X32" s="1"/>
      <c r="Y32" s="1"/>
      <c r="Z32" s="1"/>
      <c r="AA32" s="1"/>
      <c r="AB32" s="1"/>
      <c r="AC32" s="1"/>
      <c r="AD32" s="1"/>
      <c r="AE32" s="1"/>
      <c r="AF32" s="1"/>
      <c r="AG32" s="1"/>
    </row>
    <row r="33" spans="1:33" ht="15" customHeight="1" x14ac:dyDescent="0.2">
      <c r="A33" s="90"/>
      <c r="C33" s="96"/>
      <c r="D33" s="96"/>
      <c r="E33" s="96"/>
      <c r="F33" s="149" t="s">
        <v>114</v>
      </c>
      <c r="G33" s="96"/>
      <c r="H33" s="96"/>
      <c r="I33" s="96"/>
      <c r="J33" s="96"/>
      <c r="K33" s="96"/>
      <c r="L33" s="96"/>
      <c r="M33" s="96"/>
      <c r="N33" s="96"/>
      <c r="O33" s="96"/>
      <c r="P33" s="96"/>
      <c r="Q33" s="98"/>
      <c r="R33" s="1"/>
      <c r="S33" s="1"/>
      <c r="T33" s="1"/>
      <c r="U33" s="1"/>
      <c r="V33" s="1"/>
      <c r="W33" s="1"/>
      <c r="X33" s="1"/>
      <c r="Y33" s="1"/>
      <c r="Z33" s="1"/>
      <c r="AA33" s="1"/>
      <c r="AB33" s="1"/>
      <c r="AC33" s="1"/>
      <c r="AD33" s="1"/>
      <c r="AE33" s="1"/>
      <c r="AF33" s="1"/>
      <c r="AG33" s="1"/>
    </row>
    <row r="34" spans="1:33" ht="15" customHeight="1" x14ac:dyDescent="0.2">
      <c r="A34" s="90"/>
      <c r="B34" s="99"/>
      <c r="C34" s="96"/>
      <c r="D34" s="96"/>
      <c r="E34" s="96"/>
      <c r="F34" s="149" t="s">
        <v>115</v>
      </c>
      <c r="G34" s="96"/>
      <c r="H34" s="96"/>
      <c r="I34" s="96"/>
      <c r="J34" s="96"/>
      <c r="K34" s="96"/>
      <c r="L34" s="96"/>
      <c r="M34" s="96"/>
      <c r="N34" s="96"/>
      <c r="O34" s="96"/>
      <c r="P34" s="96"/>
      <c r="Q34" s="98"/>
      <c r="R34" s="1"/>
      <c r="S34" s="1"/>
      <c r="T34" s="1"/>
      <c r="U34" s="1"/>
      <c r="V34" s="1"/>
      <c r="W34" s="1"/>
      <c r="X34" s="1"/>
      <c r="Y34" s="1"/>
      <c r="Z34" s="1"/>
      <c r="AA34" s="1"/>
      <c r="AB34" s="1"/>
      <c r="AC34" s="1"/>
      <c r="AD34" s="1"/>
      <c r="AE34" s="1"/>
      <c r="AF34" s="1"/>
      <c r="AG34" s="1"/>
    </row>
    <row r="35" spans="1:33" ht="20.25" customHeight="1" x14ac:dyDescent="0.2">
      <c r="A35" s="90"/>
      <c r="C35" s="96" t="e">
        <f>+'EXPER. GENERAL'!#REF!</f>
        <v>#REF!</v>
      </c>
      <c r="D35" s="96"/>
      <c r="E35" s="96"/>
      <c r="F35" s="96" t="s">
        <v>116</v>
      </c>
      <c r="G35" s="96"/>
      <c r="H35" s="96"/>
      <c r="I35" s="96"/>
      <c r="J35" s="96"/>
      <c r="K35" s="96"/>
      <c r="L35" s="96"/>
      <c r="M35" s="96"/>
      <c r="N35" s="96"/>
      <c r="O35" s="96"/>
      <c r="P35" s="96" t="s">
        <v>45</v>
      </c>
      <c r="Q35" s="98"/>
      <c r="R35" s="1"/>
      <c r="S35" s="1"/>
      <c r="T35" s="1"/>
      <c r="U35" s="1"/>
      <c r="V35" s="1"/>
      <c r="W35" s="1"/>
      <c r="X35" s="1"/>
      <c r="Y35" s="1"/>
      <c r="Z35" s="1"/>
      <c r="AA35" s="1"/>
      <c r="AB35" s="1"/>
      <c r="AC35" s="1"/>
      <c r="AD35" s="1"/>
      <c r="AE35" s="1"/>
      <c r="AF35" s="1"/>
      <c r="AG35" s="1"/>
    </row>
    <row r="36" spans="1:33" s="3" customFormat="1" ht="20.25" customHeight="1" thickBot="1" x14ac:dyDescent="0.25">
      <c r="A36" s="92"/>
      <c r="B36" s="93"/>
      <c r="C36" s="87" t="e">
        <f>+'EXPER. GENERAL'!#REF!</f>
        <v>#REF!</v>
      </c>
      <c r="D36" s="87"/>
      <c r="E36" s="87"/>
      <c r="F36" s="87"/>
      <c r="G36" s="87"/>
      <c r="H36" s="87"/>
      <c r="I36" s="87"/>
      <c r="J36" s="87"/>
      <c r="K36" s="87"/>
      <c r="L36" s="87"/>
      <c r="M36" s="87"/>
      <c r="N36" s="87"/>
      <c r="O36" s="87"/>
      <c r="P36" s="87" t="e">
        <f>+'EXPER. GENERAL'!#REF!</f>
        <v>#REF!</v>
      </c>
      <c r="Q36" s="100"/>
      <c r="R36" s="1"/>
      <c r="S36" s="1"/>
      <c r="T36" s="1"/>
      <c r="U36" s="1"/>
      <c r="V36" s="1"/>
      <c r="W36" s="1"/>
      <c r="X36" s="1"/>
      <c r="Y36" s="1"/>
      <c r="Z36" s="1"/>
      <c r="AA36" s="1"/>
      <c r="AB36" s="1"/>
      <c r="AC36" s="1"/>
      <c r="AD36" s="1"/>
      <c r="AE36" s="1"/>
      <c r="AF36" s="1"/>
      <c r="AG36" s="1"/>
    </row>
    <row r="37" spans="1:33" x14ac:dyDescent="0.2">
      <c r="R37" s="1"/>
      <c r="S37" s="1"/>
      <c r="T37" s="1"/>
      <c r="U37" s="1"/>
      <c r="V37" s="1"/>
      <c r="W37" s="1"/>
      <c r="X37" s="1"/>
      <c r="Y37" s="1"/>
      <c r="Z37" s="1"/>
      <c r="AA37" s="1"/>
      <c r="AB37" s="1"/>
      <c r="AC37" s="1"/>
      <c r="AD37" s="1"/>
      <c r="AE37" s="1"/>
      <c r="AF37" s="1"/>
      <c r="AG37" s="1"/>
    </row>
  </sheetData>
  <mergeCells count="49">
    <mergeCell ref="C13:E13"/>
    <mergeCell ref="C14:E14"/>
    <mergeCell ref="C15:E15"/>
    <mergeCell ref="C11:E11"/>
    <mergeCell ref="R21:T21"/>
    <mergeCell ref="I19:I20"/>
    <mergeCell ref="J19:J20"/>
    <mergeCell ref="J21:J22"/>
    <mergeCell ref="L19:L20"/>
    <mergeCell ref="L21:L22"/>
    <mergeCell ref="N19:N20"/>
    <mergeCell ref="N21:N22"/>
    <mergeCell ref="K19:K20"/>
    <mergeCell ref="I21:I22"/>
    <mergeCell ref="K21:K22"/>
    <mergeCell ref="M21:M22"/>
    <mergeCell ref="M19:M20"/>
    <mergeCell ref="E21:E22"/>
    <mergeCell ref="F21:F22"/>
    <mergeCell ref="G21:G22"/>
    <mergeCell ref="A1:C5"/>
    <mergeCell ref="Q1:Q5"/>
    <mergeCell ref="D2:P2"/>
    <mergeCell ref="D3:P3"/>
    <mergeCell ref="D4:P4"/>
    <mergeCell ref="A6:B7"/>
    <mergeCell ref="C6:Q7"/>
    <mergeCell ref="F19:F20"/>
    <mergeCell ref="G19:G20"/>
    <mergeCell ref="A17:Q17"/>
    <mergeCell ref="C9:E9"/>
    <mergeCell ref="C10:E10"/>
    <mergeCell ref="C12:E12"/>
    <mergeCell ref="A23:Q24"/>
    <mergeCell ref="A19:A20"/>
    <mergeCell ref="B19:B20"/>
    <mergeCell ref="C19:C20"/>
    <mergeCell ref="D19:D20"/>
    <mergeCell ref="E19:E20"/>
    <mergeCell ref="H19:H20"/>
    <mergeCell ref="O19:O20"/>
    <mergeCell ref="P19:P20"/>
    <mergeCell ref="Q21:Q22"/>
    <mergeCell ref="Q19:Q20"/>
    <mergeCell ref="O21:O22"/>
    <mergeCell ref="H21:H22"/>
    <mergeCell ref="P21:P22"/>
    <mergeCell ref="A21:A22"/>
    <mergeCell ref="B21:B22"/>
  </mergeCells>
  <pageMargins left="0.35433070866141736" right="0.27559055118110237" top="0.27559055118110237" bottom="0.19685039370078741" header="0.31496062992125984" footer="0.31496062992125984"/>
  <pageSetup scale="3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H34"/>
  <sheetViews>
    <sheetView view="pageBreakPreview" topLeftCell="A13" zoomScale="63" zoomScaleNormal="85" zoomScaleSheetLayoutView="70" workbookViewId="0">
      <selection activeCell="A13" sqref="A13"/>
    </sheetView>
  </sheetViews>
  <sheetFormatPr baseColWidth="10" defaultColWidth="11.44140625" defaultRowHeight="14.4" x14ac:dyDescent="0.3"/>
  <cols>
    <col min="1" max="1" width="6.5546875" style="2" customWidth="1"/>
    <col min="2" max="2" width="25" style="2" customWidth="1"/>
    <col min="3" max="3" width="26" style="2" customWidth="1"/>
    <col min="4" max="4" width="23.5546875" style="2" customWidth="1"/>
    <col min="5" max="5" width="24.44140625" style="2" customWidth="1"/>
    <col min="6" max="8" width="24.88671875" style="2" customWidth="1"/>
    <col min="9" max="10" width="24.88671875" style="144" customWidth="1"/>
    <col min="11" max="11" width="30.6640625" style="144" customWidth="1"/>
    <col min="12" max="12" width="24.88671875" style="144" customWidth="1"/>
    <col min="13" max="15" width="22.6640625" style="2" customWidth="1"/>
    <col min="16" max="16" width="26.109375" style="144" customWidth="1"/>
    <col min="17" max="17" width="21.33203125" style="2" customWidth="1"/>
    <col min="18" max="18" width="33.88671875" style="2" customWidth="1"/>
    <col min="19" max="16384" width="11.44140625" style="2"/>
  </cols>
  <sheetData>
    <row r="1" spans="1:18" ht="36" customHeight="1" x14ac:dyDescent="0.3">
      <c r="A1" s="262"/>
      <c r="B1" s="263"/>
      <c r="C1" s="264"/>
      <c r="D1" s="252" t="str">
        <f>+'EXPER. GENERAL'!E2</f>
        <v>HOSPITAL GUAPI - EMPRESA SOCIAL DEL ESTADO</v>
      </c>
      <c r="E1" s="273"/>
      <c r="F1" s="273"/>
      <c r="G1" s="273"/>
      <c r="H1" s="273"/>
      <c r="I1" s="273"/>
      <c r="J1" s="273"/>
      <c r="K1" s="273"/>
      <c r="L1" s="273"/>
      <c r="M1" s="273"/>
      <c r="N1" s="273"/>
      <c r="O1" s="273"/>
      <c r="P1" s="146"/>
      <c r="Q1" s="252"/>
      <c r="R1" s="253"/>
    </row>
    <row r="2" spans="1:18" ht="36" customHeight="1" x14ac:dyDescent="0.3">
      <c r="A2" s="265"/>
      <c r="B2" s="266"/>
      <c r="C2" s="267"/>
      <c r="D2" s="271" t="str">
        <f>+'EXPER. GENERAL'!E3</f>
        <v>INFORME TÉCNICO PRELIMINAR</v>
      </c>
      <c r="E2" s="274"/>
      <c r="F2" s="274"/>
      <c r="G2" s="274"/>
      <c r="H2" s="274"/>
      <c r="I2" s="274"/>
      <c r="J2" s="274"/>
      <c r="K2" s="274"/>
      <c r="L2" s="274"/>
      <c r="M2" s="274"/>
      <c r="N2" s="274"/>
      <c r="O2" s="274"/>
      <c r="P2" s="147"/>
      <c r="Q2" s="271"/>
      <c r="R2" s="272"/>
    </row>
    <row r="3" spans="1:18" ht="36" customHeight="1" x14ac:dyDescent="0.3">
      <c r="A3" s="265"/>
      <c r="B3" s="266"/>
      <c r="C3" s="267"/>
      <c r="D3" s="271" t="str">
        <f>+'EXPER. GENERAL'!E4</f>
        <v>CONVOCATORIA PÚBLICA No. 01 DE 2024</v>
      </c>
      <c r="E3" s="274"/>
      <c r="F3" s="274"/>
      <c r="G3" s="274"/>
      <c r="H3" s="274"/>
      <c r="I3" s="274"/>
      <c r="J3" s="274"/>
      <c r="K3" s="274"/>
      <c r="L3" s="274"/>
      <c r="M3" s="274"/>
      <c r="N3" s="274"/>
      <c r="O3" s="274"/>
      <c r="P3" s="147"/>
      <c r="Q3" s="271"/>
      <c r="R3" s="272"/>
    </row>
    <row r="4" spans="1:18" ht="15" thickBot="1" x14ac:dyDescent="0.35">
      <c r="A4" s="268"/>
      <c r="B4" s="269"/>
      <c r="C4" s="270"/>
      <c r="D4" s="104"/>
      <c r="E4" s="3"/>
      <c r="F4" s="3"/>
      <c r="G4" s="3"/>
      <c r="H4" s="3"/>
      <c r="I4" s="145"/>
      <c r="J4" s="145"/>
      <c r="K4" s="145"/>
      <c r="L4" s="145"/>
      <c r="M4" s="3"/>
      <c r="N4" s="3"/>
      <c r="O4" s="3"/>
      <c r="P4" s="145"/>
      <c r="Q4" s="254"/>
      <c r="R4" s="255"/>
    </row>
    <row r="5" spans="1:18" ht="29.25" customHeight="1" x14ac:dyDescent="0.3">
      <c r="A5" s="252" t="s">
        <v>5</v>
      </c>
      <c r="B5" s="253"/>
      <c r="C5" s="256" t="str">
        <f>+'EXPER. GENERAL'!C6</f>
        <v>EL CONTRATISTA SE OBLIGA CON LA EMPRESA SOCIAL DEL ESTADO GUAPI A REALIZAR LA REPOSICIÓN DE LA INFRAESTRUCTURA FISICA DEL HOSPITAL PERTENECIENTE A LA ESE GUAPI DE ACUERDO A LOS REQUERIMIENTOS TECNICOS DESCRITOS EN EL PRESENTE PROCESO DE CONTRATACION”</v>
      </c>
      <c r="D5" s="257"/>
      <c r="E5" s="257"/>
      <c r="F5" s="257"/>
      <c r="G5" s="257"/>
      <c r="H5" s="257"/>
      <c r="I5" s="257"/>
      <c r="J5" s="257"/>
      <c r="K5" s="257"/>
      <c r="L5" s="257"/>
      <c r="M5" s="257"/>
      <c r="N5" s="257"/>
      <c r="O5" s="257"/>
      <c r="P5" s="257"/>
      <c r="Q5" s="257"/>
      <c r="R5" s="258"/>
    </row>
    <row r="6" spans="1:18" ht="29.25" customHeight="1" thickBot="1" x14ac:dyDescent="0.35">
      <c r="A6" s="254"/>
      <c r="B6" s="255"/>
      <c r="C6" s="259"/>
      <c r="D6" s="260"/>
      <c r="E6" s="260"/>
      <c r="F6" s="260"/>
      <c r="G6" s="260"/>
      <c r="H6" s="260"/>
      <c r="I6" s="260"/>
      <c r="J6" s="260"/>
      <c r="K6" s="260"/>
      <c r="L6" s="260"/>
      <c r="M6" s="260"/>
      <c r="N6" s="260"/>
      <c r="O6" s="260"/>
      <c r="P6" s="260"/>
      <c r="Q6" s="260"/>
      <c r="R6" s="261"/>
    </row>
    <row r="7" spans="1:18" ht="6.75" customHeight="1" thickBot="1" x14ac:dyDescent="0.35">
      <c r="A7" s="102"/>
      <c r="R7" s="105"/>
    </row>
    <row r="8" spans="1:18" ht="21" customHeight="1" thickBot="1" x14ac:dyDescent="0.35">
      <c r="A8" s="102"/>
      <c r="C8" s="240" t="s">
        <v>16</v>
      </c>
      <c r="D8" s="241"/>
      <c r="E8" s="242"/>
      <c r="F8" s="289">
        <f>+'EXPER. GENERAL'!F9</f>
        <v>45377</v>
      </c>
      <c r="G8" s="290"/>
      <c r="R8" s="103"/>
    </row>
    <row r="9" spans="1:18" ht="21" customHeight="1" thickBot="1" x14ac:dyDescent="0.35">
      <c r="A9" s="102"/>
      <c r="C9" s="240" t="s">
        <v>53</v>
      </c>
      <c r="D9" s="241"/>
      <c r="E9" s="242"/>
      <c r="F9" s="291">
        <f>+'EXPER. GENERAL'!F10</f>
        <v>45379</v>
      </c>
      <c r="G9" s="292"/>
      <c r="R9" s="103"/>
    </row>
    <row r="10" spans="1:18" ht="21" customHeight="1" thickBot="1" x14ac:dyDescent="0.35">
      <c r="A10" s="102"/>
      <c r="C10" s="240" t="s">
        <v>54</v>
      </c>
      <c r="D10" s="241"/>
      <c r="E10" s="242"/>
      <c r="F10" s="291" t="str">
        <f>+'EXPER. GENERAL'!F11</f>
        <v>N/A</v>
      </c>
      <c r="G10" s="292"/>
      <c r="R10" s="103"/>
    </row>
    <row r="11" spans="1:18" ht="21" customHeight="1" thickBot="1" x14ac:dyDescent="0.35">
      <c r="A11" s="102"/>
      <c r="C11" s="240" t="s">
        <v>17</v>
      </c>
      <c r="D11" s="241"/>
      <c r="E11" s="242"/>
      <c r="F11" s="293" t="str">
        <f>+'EXPER. GENERAL'!F12</f>
        <v>30 meses</v>
      </c>
      <c r="G11" s="294"/>
      <c r="R11" s="103"/>
    </row>
    <row r="12" spans="1:18" ht="21" customHeight="1" thickBot="1" x14ac:dyDescent="0.35">
      <c r="A12" s="102"/>
      <c r="C12" s="240" t="s">
        <v>18</v>
      </c>
      <c r="D12" s="241"/>
      <c r="E12" s="242"/>
      <c r="F12" s="295">
        <f>+'EXPER. GENERAL'!F13</f>
        <v>35457719671</v>
      </c>
      <c r="G12" s="296"/>
      <c r="R12" s="105"/>
    </row>
    <row r="13" spans="1:18" ht="21" customHeight="1" thickBot="1" x14ac:dyDescent="0.35">
      <c r="A13" s="102"/>
      <c r="C13" s="240" t="s">
        <v>56</v>
      </c>
      <c r="D13" s="241"/>
      <c r="E13" s="242"/>
      <c r="F13" s="283">
        <f>+'EXPER. GENERAL'!F14</f>
        <v>1300000</v>
      </c>
      <c r="G13" s="284"/>
      <c r="R13" s="105"/>
    </row>
    <row r="14" spans="1:18" ht="21" customHeight="1" thickBot="1" x14ac:dyDescent="0.35">
      <c r="A14" s="102"/>
      <c r="C14" s="240" t="s">
        <v>19</v>
      </c>
      <c r="D14" s="241"/>
      <c r="E14" s="242"/>
      <c r="F14" s="285">
        <f>+F12/F13</f>
        <v>27275.168977692309</v>
      </c>
      <c r="G14" s="286"/>
      <c r="R14" s="105"/>
    </row>
    <row r="15" spans="1:18" ht="21" customHeight="1" thickBot="1" x14ac:dyDescent="0.35">
      <c r="A15" s="102"/>
      <c r="C15" s="240" t="s">
        <v>107</v>
      </c>
      <c r="D15" s="241"/>
      <c r="E15" s="242"/>
      <c r="F15" s="287">
        <v>3901.51</v>
      </c>
      <c r="G15" s="288"/>
      <c r="R15" s="105"/>
    </row>
    <row r="16" spans="1:18" ht="24" thickBot="1" x14ac:dyDescent="0.35">
      <c r="A16" s="102"/>
      <c r="C16" s="240" t="s">
        <v>49</v>
      </c>
      <c r="D16" s="241"/>
      <c r="E16" s="242"/>
      <c r="F16" s="285" t="s">
        <v>69</v>
      </c>
      <c r="G16" s="286"/>
      <c r="R16" s="105"/>
    </row>
    <row r="17" spans="1:34" ht="7.5" customHeight="1" thickBot="1" x14ac:dyDescent="0.35">
      <c r="A17" s="102"/>
      <c r="H17" s="15"/>
      <c r="I17" s="140"/>
      <c r="J17" s="140"/>
      <c r="K17" s="140"/>
      <c r="L17" s="140"/>
      <c r="R17" s="105"/>
      <c r="S17"/>
    </row>
    <row r="18" spans="1:34" ht="24" thickBot="1" x14ac:dyDescent="0.35">
      <c r="A18" s="219" t="s">
        <v>8</v>
      </c>
      <c r="B18" s="220"/>
      <c r="C18" s="220"/>
      <c r="D18" s="220"/>
      <c r="E18" s="220"/>
      <c r="F18" s="220"/>
      <c r="G18" s="220"/>
      <c r="H18" s="220"/>
      <c r="I18" s="220"/>
      <c r="J18" s="220"/>
      <c r="K18" s="220"/>
      <c r="L18" s="220"/>
      <c r="M18" s="220"/>
      <c r="N18" s="220"/>
      <c r="O18" s="220"/>
      <c r="P18" s="220"/>
      <c r="Q18" s="220"/>
      <c r="R18" s="221"/>
    </row>
    <row r="19" spans="1:34" s="1" customFormat="1" ht="87" customHeight="1" thickBot="1" x14ac:dyDescent="0.25">
      <c r="A19" s="279" t="s">
        <v>1</v>
      </c>
      <c r="B19" s="279" t="s">
        <v>0</v>
      </c>
      <c r="C19" s="279" t="s">
        <v>2</v>
      </c>
      <c r="D19" s="279" t="s">
        <v>3</v>
      </c>
      <c r="E19" s="106" t="s">
        <v>57</v>
      </c>
      <c r="F19" s="219" t="s">
        <v>97</v>
      </c>
      <c r="G19" s="220"/>
      <c r="H19" s="220"/>
      <c r="I19" s="281" t="s">
        <v>106</v>
      </c>
      <c r="J19" s="281"/>
      <c r="K19" s="281"/>
      <c r="L19" s="282"/>
      <c r="M19" s="106" t="s">
        <v>50</v>
      </c>
      <c r="N19" s="106" t="s">
        <v>61</v>
      </c>
      <c r="O19" s="106" t="s">
        <v>62</v>
      </c>
      <c r="P19" s="106" t="s">
        <v>101</v>
      </c>
      <c r="Q19" s="279" t="s">
        <v>7</v>
      </c>
      <c r="R19" s="279" t="s">
        <v>6</v>
      </c>
    </row>
    <row r="20" spans="1:34" s="1" customFormat="1" ht="122.25" customHeight="1" thickBot="1" x14ac:dyDescent="0.25">
      <c r="A20" s="280"/>
      <c r="B20" s="280"/>
      <c r="C20" s="280"/>
      <c r="D20" s="280"/>
      <c r="E20" s="107" t="s">
        <v>105</v>
      </c>
      <c r="F20" s="106" t="s">
        <v>58</v>
      </c>
      <c r="G20" s="106" t="s">
        <v>59</v>
      </c>
      <c r="H20" s="106" t="s">
        <v>98</v>
      </c>
      <c r="I20" s="141" t="s">
        <v>99</v>
      </c>
      <c r="J20" s="143" t="s">
        <v>100</v>
      </c>
      <c r="K20" s="143" t="s">
        <v>103</v>
      </c>
      <c r="L20" s="143" t="s">
        <v>102</v>
      </c>
      <c r="M20" s="107" t="s">
        <v>60</v>
      </c>
      <c r="N20" s="107" t="s">
        <v>63</v>
      </c>
      <c r="O20" s="107" t="s">
        <v>63</v>
      </c>
      <c r="P20" s="143" t="s">
        <v>63</v>
      </c>
      <c r="Q20" s="280"/>
      <c r="R20" s="280"/>
    </row>
    <row r="21" spans="1:34" s="1" customFormat="1" ht="39.75" customHeight="1" x14ac:dyDescent="0.2">
      <c r="A21" s="187">
        <v>1</v>
      </c>
      <c r="B21" s="187" t="str">
        <f>+'EXPER. GENERAL'!B22</f>
        <v>CONSORCIO HOSPITAL GUAPI 2024</v>
      </c>
      <c r="C21" s="169" t="str">
        <f>+'EXPER. GENERAL'!D22</f>
        <v>CARLOS MANUEL OLARTE MARTINEZ</v>
      </c>
      <c r="D21" s="245">
        <v>0.5</v>
      </c>
      <c r="E21" s="111" t="s">
        <v>51</v>
      </c>
      <c r="F21" s="169" t="s">
        <v>42</v>
      </c>
      <c r="G21" s="169" t="s">
        <v>42</v>
      </c>
      <c r="H21" s="169" t="s">
        <v>42</v>
      </c>
      <c r="I21" s="169" t="s">
        <v>42</v>
      </c>
      <c r="J21" s="169" t="s">
        <v>42</v>
      </c>
      <c r="K21" s="169" t="s">
        <v>42</v>
      </c>
      <c r="L21" s="169" t="s">
        <v>42</v>
      </c>
      <c r="M21" s="169" t="s">
        <v>42</v>
      </c>
      <c r="N21" s="169" t="s">
        <v>42</v>
      </c>
      <c r="O21" s="169" t="s">
        <v>42</v>
      </c>
      <c r="P21" s="169" t="s">
        <v>42</v>
      </c>
      <c r="Q21" s="275">
        <f>F24+G24+H24+I24+M24+N24+O24+P24+35</f>
        <v>100</v>
      </c>
      <c r="R21" s="187" t="s">
        <v>104</v>
      </c>
      <c r="S21" s="214"/>
      <c r="T21" s="215"/>
    </row>
    <row r="22" spans="1:34" s="1" customFormat="1" ht="39.75" customHeight="1" x14ac:dyDescent="0.2">
      <c r="A22" s="188"/>
      <c r="B22" s="188"/>
      <c r="C22" s="244"/>
      <c r="D22" s="246"/>
      <c r="E22" s="112">
        <v>35456021010</v>
      </c>
      <c r="F22" s="170"/>
      <c r="G22" s="170"/>
      <c r="H22" s="170"/>
      <c r="I22" s="170"/>
      <c r="J22" s="170"/>
      <c r="K22" s="170"/>
      <c r="L22" s="170"/>
      <c r="M22" s="170"/>
      <c r="N22" s="170"/>
      <c r="O22" s="170"/>
      <c r="P22" s="170"/>
      <c r="Q22" s="276"/>
      <c r="R22" s="188"/>
      <c r="S22" s="130"/>
      <c r="T22" s="130"/>
    </row>
    <row r="23" spans="1:34" s="1" customFormat="1" ht="39.75" customHeight="1" x14ac:dyDescent="0.2">
      <c r="A23" s="188"/>
      <c r="B23" s="188"/>
      <c r="C23" s="186" t="str">
        <f>+'EXPER. GENERAL'!D23</f>
        <v>CONSTRUCTORA NBI S.A. RPL  LINA MARIA LUJAN FEIJOO</v>
      </c>
      <c r="D23" s="247">
        <v>0.5</v>
      </c>
      <c r="E23" s="277" t="s">
        <v>42</v>
      </c>
      <c r="F23" s="244"/>
      <c r="G23" s="244"/>
      <c r="H23" s="244"/>
      <c r="I23" s="244"/>
      <c r="J23" s="244"/>
      <c r="K23" s="244"/>
      <c r="L23" s="244"/>
      <c r="M23" s="244"/>
      <c r="N23" s="244"/>
      <c r="O23" s="244"/>
      <c r="P23" s="244"/>
      <c r="Q23" s="276"/>
      <c r="R23" s="188"/>
      <c r="S23" s="130"/>
      <c r="T23" s="130"/>
    </row>
    <row r="24" spans="1:34" s="133" customFormat="1" ht="39.75" customHeight="1" thickBot="1" x14ac:dyDescent="0.3">
      <c r="A24" s="189"/>
      <c r="B24" s="189"/>
      <c r="C24" s="171"/>
      <c r="D24" s="248"/>
      <c r="E24" s="278"/>
      <c r="F24" s="131">
        <v>10</v>
      </c>
      <c r="G24" s="131">
        <v>10</v>
      </c>
      <c r="H24" s="131">
        <v>9.75</v>
      </c>
      <c r="I24" s="249">
        <v>24.5</v>
      </c>
      <c r="J24" s="250"/>
      <c r="K24" s="250"/>
      <c r="L24" s="251"/>
      <c r="M24" s="131">
        <v>10</v>
      </c>
      <c r="N24" s="131">
        <v>0.25</v>
      </c>
      <c r="O24" s="131">
        <v>0.25</v>
      </c>
      <c r="P24" s="139">
        <v>0.25</v>
      </c>
      <c r="Q24" s="276"/>
      <c r="R24" s="189"/>
      <c r="S24" s="1"/>
      <c r="T24" s="1"/>
      <c r="U24" s="1"/>
      <c r="V24" s="1"/>
      <c r="W24" s="1"/>
      <c r="X24" s="1"/>
      <c r="Y24" s="1"/>
      <c r="Z24" s="1"/>
      <c r="AA24" s="1"/>
      <c r="AB24" s="1"/>
      <c r="AC24" s="1"/>
      <c r="AD24" s="1"/>
      <c r="AE24" s="1"/>
      <c r="AF24" s="1"/>
      <c r="AG24" s="1"/>
      <c r="AH24" s="1"/>
    </row>
    <row r="25" spans="1:34" ht="15" customHeight="1" x14ac:dyDescent="0.2">
      <c r="A25" s="102"/>
      <c r="C25" s="120"/>
      <c r="D25" s="120"/>
      <c r="E25" s="120"/>
      <c r="F25" s="120"/>
      <c r="G25" s="120"/>
      <c r="H25" s="120"/>
      <c r="I25" s="120"/>
      <c r="J25" s="120"/>
      <c r="K25" s="120"/>
      <c r="L25" s="120"/>
      <c r="Q25" s="125"/>
      <c r="R25" s="108"/>
      <c r="S25" s="1"/>
      <c r="T25" s="1"/>
      <c r="U25" s="1"/>
      <c r="V25" s="1"/>
      <c r="W25" s="1"/>
      <c r="X25" s="1"/>
      <c r="Y25" s="1"/>
      <c r="Z25" s="1"/>
      <c r="AA25" s="1"/>
      <c r="AB25" s="1"/>
      <c r="AC25" s="1"/>
      <c r="AD25" s="1"/>
      <c r="AE25" s="1"/>
      <c r="AF25" s="1"/>
      <c r="AG25" s="1"/>
      <c r="AH25" s="1"/>
    </row>
    <row r="26" spans="1:34" ht="15" customHeight="1" x14ac:dyDescent="0.2">
      <c r="A26" s="102"/>
      <c r="C26" s="120"/>
      <c r="D26" s="120"/>
      <c r="E26" s="120"/>
      <c r="F26" s="120"/>
      <c r="G26" s="120"/>
      <c r="H26" s="120"/>
      <c r="I26" s="120"/>
      <c r="J26" s="120"/>
      <c r="K26" s="120"/>
      <c r="L26" s="120"/>
      <c r="Q26" s="125"/>
      <c r="R26" s="108"/>
      <c r="S26" s="1"/>
      <c r="T26" s="1"/>
      <c r="U26" s="1"/>
      <c r="V26" s="1"/>
      <c r="W26" s="1"/>
      <c r="X26" s="1"/>
      <c r="Y26" s="1"/>
      <c r="Z26" s="1"/>
      <c r="AA26" s="1"/>
      <c r="AB26" s="1"/>
      <c r="AC26" s="1"/>
      <c r="AD26" s="1"/>
      <c r="AE26" s="1"/>
      <c r="AF26" s="1"/>
      <c r="AG26" s="1"/>
      <c r="AH26" s="1"/>
    </row>
    <row r="27" spans="1:34" ht="15" customHeight="1" x14ac:dyDescent="0.2">
      <c r="A27" s="102"/>
      <c r="C27" s="120"/>
      <c r="D27" s="120"/>
      <c r="E27" s="120"/>
      <c r="F27" s="120"/>
      <c r="G27" s="120"/>
      <c r="H27" s="120"/>
      <c r="I27" s="120"/>
      <c r="J27" s="120"/>
      <c r="K27" s="120"/>
      <c r="L27" s="120"/>
      <c r="Q27" s="125"/>
      <c r="R27" s="108"/>
      <c r="S27" s="1"/>
      <c r="T27" s="1"/>
      <c r="U27" s="1"/>
      <c r="V27" s="1"/>
      <c r="W27" s="1"/>
      <c r="X27" s="1"/>
      <c r="Y27" s="1"/>
      <c r="Z27" s="1"/>
      <c r="AA27" s="1"/>
      <c r="AB27" s="1"/>
      <c r="AC27" s="1"/>
      <c r="AD27" s="1"/>
      <c r="AE27" s="1"/>
      <c r="AF27" s="1"/>
      <c r="AG27" s="1"/>
      <c r="AH27" s="1"/>
    </row>
    <row r="28" spans="1:34" ht="15" customHeight="1" x14ac:dyDescent="0.2">
      <c r="A28" s="102"/>
      <c r="C28" s="120"/>
      <c r="D28" s="120"/>
      <c r="E28" s="120"/>
      <c r="F28" s="120"/>
      <c r="G28" s="120"/>
      <c r="H28" s="120"/>
      <c r="I28" s="120"/>
      <c r="J28" s="120"/>
      <c r="K28" s="120"/>
      <c r="L28" s="120"/>
      <c r="Q28" s="125"/>
      <c r="R28" s="108"/>
      <c r="S28" s="1"/>
      <c r="T28" s="1"/>
      <c r="U28" s="1"/>
      <c r="V28" s="1"/>
      <c r="W28" s="1"/>
      <c r="X28" s="1"/>
      <c r="Y28" s="1"/>
      <c r="Z28" s="1"/>
      <c r="AA28" s="1"/>
      <c r="AB28" s="1"/>
      <c r="AC28" s="1"/>
      <c r="AD28" s="1"/>
      <c r="AE28" s="1"/>
      <c r="AF28" s="1"/>
      <c r="AG28" s="1"/>
      <c r="AH28" s="1"/>
    </row>
    <row r="29" spans="1:34" ht="11.25" customHeight="1" x14ac:dyDescent="0.2">
      <c r="A29" s="102"/>
      <c r="C29" s="120"/>
      <c r="D29" s="120"/>
      <c r="E29" s="120"/>
      <c r="F29" s="120"/>
      <c r="G29" s="120"/>
      <c r="H29" s="120"/>
      <c r="I29" s="120"/>
      <c r="J29" s="120"/>
      <c r="K29" s="120"/>
      <c r="L29" s="120"/>
      <c r="R29" s="108"/>
      <c r="S29" s="1"/>
      <c r="T29" s="1"/>
      <c r="U29" s="1"/>
      <c r="V29" s="1"/>
      <c r="W29" s="1"/>
      <c r="X29" s="1"/>
      <c r="Y29" s="1"/>
      <c r="Z29" s="1"/>
      <c r="AA29" s="1"/>
      <c r="AB29" s="1"/>
      <c r="AC29" s="1"/>
      <c r="AD29" s="1"/>
      <c r="AE29" s="1"/>
      <c r="AF29" s="1"/>
      <c r="AG29" s="1"/>
      <c r="AH29" s="1"/>
    </row>
    <row r="30" spans="1:34" ht="15" customHeight="1" x14ac:dyDescent="0.2">
      <c r="A30" s="102"/>
      <c r="C30" s="120"/>
      <c r="D30" s="120"/>
      <c r="E30" s="120"/>
      <c r="F30" s="120"/>
      <c r="G30" s="120"/>
      <c r="H30" s="120"/>
      <c r="I30" s="120"/>
      <c r="J30" s="120"/>
      <c r="K30" s="120"/>
      <c r="L30" s="120"/>
      <c r="R30" s="108"/>
      <c r="S30" s="1"/>
      <c r="T30" s="1"/>
      <c r="U30" s="1"/>
      <c r="V30" s="1"/>
      <c r="W30" s="1"/>
      <c r="X30" s="1"/>
      <c r="Y30" s="1"/>
      <c r="Z30" s="1"/>
      <c r="AA30" s="1"/>
      <c r="AB30" s="1"/>
      <c r="AC30" s="1"/>
      <c r="AD30" s="1"/>
      <c r="AE30" s="1"/>
      <c r="AF30" s="1"/>
      <c r="AG30" s="1"/>
      <c r="AH30" s="1"/>
    </row>
    <row r="31" spans="1:34" ht="15" customHeight="1" thickBot="1" x14ac:dyDescent="0.25">
      <c r="A31" s="102"/>
      <c r="B31" s="126"/>
      <c r="C31" s="120"/>
      <c r="D31" s="120"/>
      <c r="E31" s="120"/>
      <c r="F31" s="150"/>
      <c r="G31" s="120"/>
      <c r="H31" s="125"/>
      <c r="I31" s="125"/>
      <c r="J31" s="125"/>
      <c r="K31" s="125"/>
      <c r="L31" s="125"/>
      <c r="Q31" s="97"/>
      <c r="R31" s="108"/>
      <c r="S31" s="1"/>
      <c r="T31" s="1"/>
      <c r="U31" s="1"/>
      <c r="V31" s="1"/>
      <c r="W31" s="1"/>
      <c r="X31" s="1"/>
      <c r="Y31" s="1"/>
      <c r="Z31" s="1"/>
      <c r="AA31" s="1"/>
      <c r="AB31" s="1"/>
      <c r="AC31" s="1"/>
      <c r="AD31" s="1"/>
      <c r="AE31" s="1"/>
      <c r="AF31" s="1"/>
      <c r="AG31" s="1"/>
      <c r="AH31" s="1"/>
    </row>
    <row r="32" spans="1:34" ht="21" customHeight="1" x14ac:dyDescent="0.2">
      <c r="A32" s="102"/>
      <c r="C32" s="155"/>
      <c r="D32" s="155"/>
      <c r="E32" s="155"/>
      <c r="F32" s="149" t="s">
        <v>114</v>
      </c>
      <c r="G32" s="120"/>
      <c r="Q32" s="117"/>
      <c r="R32" s="108"/>
      <c r="S32" s="1"/>
      <c r="T32" s="1"/>
      <c r="U32" s="1"/>
      <c r="V32" s="1"/>
      <c r="W32" s="1"/>
      <c r="X32" s="1"/>
      <c r="Y32" s="1"/>
      <c r="Z32" s="1"/>
      <c r="AA32" s="1"/>
      <c r="AB32" s="1"/>
      <c r="AC32" s="1"/>
      <c r="AD32" s="1"/>
      <c r="AE32" s="1"/>
      <c r="AF32" s="1"/>
      <c r="AG32" s="1"/>
      <c r="AH32" s="1"/>
    </row>
    <row r="33" spans="1:34" s="3" customFormat="1" ht="25.5" customHeight="1" thickBot="1" x14ac:dyDescent="0.25">
      <c r="A33" s="104"/>
      <c r="C33" s="86"/>
      <c r="D33" s="86"/>
      <c r="E33" s="86"/>
      <c r="F33" s="149" t="s">
        <v>115</v>
      </c>
      <c r="G33" s="86"/>
      <c r="I33" s="145"/>
      <c r="J33" s="145"/>
      <c r="K33" s="145"/>
      <c r="L33" s="145"/>
      <c r="M33" s="86"/>
      <c r="N33" s="86"/>
      <c r="O33" s="86"/>
      <c r="P33" s="86"/>
      <c r="Q33" s="110"/>
      <c r="R33" s="109"/>
      <c r="S33" s="1"/>
      <c r="T33" s="1"/>
      <c r="U33" s="1"/>
      <c r="V33" s="1"/>
      <c r="W33" s="1"/>
      <c r="X33" s="1"/>
      <c r="Y33" s="1"/>
      <c r="Z33" s="1"/>
      <c r="AA33" s="1"/>
      <c r="AB33" s="1"/>
      <c r="AC33" s="1"/>
      <c r="AD33" s="1"/>
      <c r="AE33" s="1"/>
      <c r="AF33" s="1"/>
      <c r="AG33" s="1"/>
      <c r="AH33" s="1"/>
    </row>
    <row r="34" spans="1:34" x14ac:dyDescent="0.2">
      <c r="S34" s="1"/>
      <c r="T34" s="1"/>
      <c r="U34" s="1"/>
      <c r="V34" s="1"/>
      <c r="W34" s="1"/>
      <c r="X34" s="1"/>
      <c r="Y34" s="1"/>
      <c r="Z34" s="1"/>
      <c r="AA34" s="1"/>
      <c r="AB34" s="1"/>
      <c r="AC34" s="1"/>
      <c r="AD34" s="1"/>
      <c r="AE34" s="1"/>
      <c r="AF34" s="1"/>
      <c r="AG34" s="1"/>
      <c r="AH34" s="1"/>
    </row>
  </sheetData>
  <mergeCells count="56">
    <mergeCell ref="F13:G13"/>
    <mergeCell ref="F14:G14"/>
    <mergeCell ref="F15:G15"/>
    <mergeCell ref="F16:G16"/>
    <mergeCell ref="C8:E8"/>
    <mergeCell ref="C9:E9"/>
    <mergeCell ref="C10:E10"/>
    <mergeCell ref="C11:E11"/>
    <mergeCell ref="C12:E12"/>
    <mergeCell ref="C13:E13"/>
    <mergeCell ref="F8:G8"/>
    <mergeCell ref="F9:G9"/>
    <mergeCell ref="F10:G10"/>
    <mergeCell ref="F11:G11"/>
    <mergeCell ref="F12:G12"/>
    <mergeCell ref="C14:E14"/>
    <mergeCell ref="C15:E15"/>
    <mergeCell ref="C16:E16"/>
    <mergeCell ref="E23:E24"/>
    <mergeCell ref="F19:H19"/>
    <mergeCell ref="A18:R18"/>
    <mergeCell ref="R19:R20"/>
    <mergeCell ref="A21:A24"/>
    <mergeCell ref="B21:B24"/>
    <mergeCell ref="A19:A20"/>
    <mergeCell ref="B19:B20"/>
    <mergeCell ref="C19:C20"/>
    <mergeCell ref="D19:D20"/>
    <mergeCell ref="Q19:Q20"/>
    <mergeCell ref="I19:L19"/>
    <mergeCell ref="S21:T21"/>
    <mergeCell ref="Q21:Q24"/>
    <mergeCell ref="F21:F23"/>
    <mergeCell ref="H21:H23"/>
    <mergeCell ref="I21:I23"/>
    <mergeCell ref="M21:M23"/>
    <mergeCell ref="N21:N23"/>
    <mergeCell ref="G21:G23"/>
    <mergeCell ref="O21:O23"/>
    <mergeCell ref="R21:R24"/>
    <mergeCell ref="A5:B6"/>
    <mergeCell ref="C5:R6"/>
    <mergeCell ref="A1:C4"/>
    <mergeCell ref="Q1:R4"/>
    <mergeCell ref="D1:O1"/>
    <mergeCell ref="D2:O2"/>
    <mergeCell ref="D3:O3"/>
    <mergeCell ref="C21:C22"/>
    <mergeCell ref="D21:D22"/>
    <mergeCell ref="C23:C24"/>
    <mergeCell ref="D23:D24"/>
    <mergeCell ref="P21:P23"/>
    <mergeCell ref="J21:J23"/>
    <mergeCell ref="K21:K23"/>
    <mergeCell ref="L21:L23"/>
    <mergeCell ref="I24:L24"/>
  </mergeCells>
  <pageMargins left="0.27559055118110237" right="0.19685039370078741" top="0.15748031496062992" bottom="7.874015748031496E-2" header="0.31496062992125984" footer="0.31496062992125984"/>
  <pageSetup scale="4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39"/>
  <sheetViews>
    <sheetView zoomScale="85" zoomScaleNormal="85" workbookViewId="0">
      <selection activeCell="G36" sqref="G36"/>
    </sheetView>
  </sheetViews>
  <sheetFormatPr baseColWidth="10" defaultColWidth="11.44140625" defaultRowHeight="14.4" x14ac:dyDescent="0.3"/>
  <cols>
    <col min="1" max="1" width="5.44140625" style="19" bestFit="1" customWidth="1"/>
    <col min="2" max="2" width="20.44140625" style="34" bestFit="1" customWidth="1"/>
    <col min="3" max="3" width="17" style="19" bestFit="1" customWidth="1"/>
    <col min="4" max="4" width="19.5546875" style="19" customWidth="1"/>
    <col min="5" max="5" width="1.44140625" style="19" customWidth="1"/>
    <col min="6" max="6" width="5.109375" style="19" bestFit="1" customWidth="1"/>
    <col min="7" max="7" width="19" style="19" bestFit="1" customWidth="1"/>
    <col min="8" max="8" width="17" style="19" bestFit="1" customWidth="1"/>
    <col min="9" max="9" width="20.6640625" style="19" customWidth="1"/>
    <col min="10" max="10" width="1.44140625" style="19" customWidth="1"/>
    <col min="11" max="11" width="7.6640625" style="19" bestFit="1" customWidth="1"/>
    <col min="12" max="12" width="19" style="19" bestFit="1" customWidth="1"/>
    <col min="13" max="13" width="19" style="19" customWidth="1"/>
    <col min="14" max="14" width="17" style="19" bestFit="1" customWidth="1"/>
    <col min="15" max="15" width="16.88671875" style="19" customWidth="1"/>
    <col min="16" max="16" width="12.6640625" style="19" customWidth="1"/>
    <col min="17" max="17" width="11.5546875" style="19" bestFit="1" customWidth="1"/>
    <col min="18" max="18" width="16.44140625" style="19" bestFit="1" customWidth="1"/>
    <col min="19" max="19" width="11.44140625" style="19"/>
    <col min="20" max="20" width="11.44140625" style="48"/>
    <col min="21" max="21" width="18" style="19" bestFit="1" customWidth="1"/>
    <col min="22" max="22" width="11.44140625" style="19"/>
    <col min="23" max="23" width="16.44140625" style="19" bestFit="1" customWidth="1"/>
    <col min="24" max="16384" width="11.44140625" style="19"/>
  </cols>
  <sheetData>
    <row r="1" spans="1:15" ht="15" thickBot="1" x14ac:dyDescent="0.35">
      <c r="A1" s="315" t="s">
        <v>20</v>
      </c>
      <c r="B1" s="316"/>
      <c r="C1" s="317"/>
      <c r="D1" s="18">
        <v>3727.15</v>
      </c>
    </row>
    <row r="2" spans="1:15" ht="15" thickBot="1" x14ac:dyDescent="0.35">
      <c r="A2" s="315" t="s">
        <v>21</v>
      </c>
      <c r="B2" s="316"/>
      <c r="C2" s="317"/>
      <c r="D2" s="20">
        <v>44357</v>
      </c>
    </row>
    <row r="3" spans="1:15" x14ac:dyDescent="0.3">
      <c r="A3" s="84"/>
      <c r="B3" s="84"/>
      <c r="C3" s="84"/>
      <c r="D3" s="85"/>
    </row>
    <row r="4" spans="1:15" x14ac:dyDescent="0.3">
      <c r="A4" s="84"/>
      <c r="B4" s="84"/>
      <c r="C4" s="84"/>
      <c r="D4" s="85"/>
    </row>
    <row r="5" spans="1:15" x14ac:dyDescent="0.3">
      <c r="A5" s="84"/>
      <c r="B5" s="84"/>
      <c r="C5" s="84"/>
      <c r="D5" s="85"/>
    </row>
    <row r="6" spans="1:15" x14ac:dyDescent="0.3">
      <c r="A6" s="84"/>
      <c r="B6" s="84"/>
      <c r="C6" s="84"/>
      <c r="D6" s="85"/>
    </row>
    <row r="7" spans="1:15" x14ac:dyDescent="0.3">
      <c r="A7" s="84"/>
      <c r="B7" s="84"/>
      <c r="C7" s="84"/>
      <c r="D7" s="85"/>
    </row>
    <row r="13" spans="1:15" ht="15" customHeight="1" x14ac:dyDescent="0.3">
      <c r="A13" s="310" t="e">
        <f>#REF!&amp;" "&amp;#REF!</f>
        <v>#REF!</v>
      </c>
      <c r="B13" s="311"/>
      <c r="C13" s="311"/>
      <c r="D13" s="311"/>
      <c r="E13" s="311"/>
      <c r="F13" s="311"/>
      <c r="G13" s="311"/>
      <c r="H13" s="311"/>
      <c r="I13" s="311"/>
      <c r="J13" s="311"/>
      <c r="K13" s="311"/>
      <c r="L13" s="311"/>
      <c r="M13" s="311"/>
      <c r="N13" s="311"/>
      <c r="O13" s="312"/>
    </row>
    <row r="15" spans="1:15" x14ac:dyDescent="0.3">
      <c r="A15" s="305" t="e">
        <f>+A13</f>
        <v>#REF!</v>
      </c>
      <c r="B15" s="306"/>
      <c r="C15" s="306"/>
      <c r="D15" s="307"/>
      <c r="F15" s="308"/>
      <c r="G15" s="308"/>
      <c r="H15" s="308"/>
      <c r="I15" s="308"/>
      <c r="K15" s="308"/>
      <c r="L15" s="308"/>
      <c r="M15" s="308"/>
      <c r="N15" s="308"/>
      <c r="O15" s="308"/>
    </row>
    <row r="16" spans="1:15" x14ac:dyDescent="0.3">
      <c r="A16" s="305" t="s">
        <v>22</v>
      </c>
      <c r="B16" s="306"/>
      <c r="C16" s="307"/>
      <c r="D16" s="21">
        <v>1</v>
      </c>
      <c r="F16" s="314">
        <f>ROUND(D21*((D24+D27+D30)/100)-D37,2)</f>
        <v>72959426976</v>
      </c>
      <c r="G16" s="314"/>
      <c r="H16" s="314"/>
      <c r="I16" s="22"/>
      <c r="K16" s="308"/>
      <c r="L16" s="308"/>
      <c r="M16" s="308"/>
      <c r="N16" s="308"/>
      <c r="O16" s="22"/>
    </row>
    <row r="17" spans="1:15" x14ac:dyDescent="0.3">
      <c r="A17" s="23" t="s">
        <v>23</v>
      </c>
      <c r="B17" s="23" t="s">
        <v>24</v>
      </c>
      <c r="C17" s="24" t="s">
        <v>25</v>
      </c>
      <c r="D17" s="24" t="s">
        <v>26</v>
      </c>
      <c r="F17" s="25"/>
      <c r="G17" s="25"/>
      <c r="H17" s="26"/>
      <c r="I17" s="26"/>
      <c r="K17" s="25"/>
      <c r="L17" s="25"/>
      <c r="M17" s="25"/>
      <c r="N17" s="26"/>
      <c r="O17" s="26"/>
    </row>
    <row r="18" spans="1:15" x14ac:dyDescent="0.3">
      <c r="A18" s="27">
        <v>1</v>
      </c>
      <c r="B18" s="28">
        <f>356742503878/908526</f>
        <v>392660.75365812314</v>
      </c>
      <c r="C18" s="29">
        <v>1</v>
      </c>
      <c r="D18" s="28">
        <f>+ROUND(B18*C18,2)</f>
        <v>392660.75</v>
      </c>
      <c r="F18" s="30"/>
      <c r="G18" s="31"/>
      <c r="H18" s="32"/>
      <c r="I18" s="31"/>
      <c r="K18" s="33"/>
      <c r="L18" s="31"/>
      <c r="M18" s="31"/>
      <c r="N18" s="32"/>
      <c r="O18" s="31"/>
    </row>
    <row r="19" spans="1:15" x14ac:dyDescent="0.3">
      <c r="C19" s="24" t="s">
        <v>27</v>
      </c>
      <c r="D19" s="35">
        <f>SUM(D18:D18)</f>
        <v>392660.75</v>
      </c>
      <c r="G19" s="31"/>
      <c r="H19" s="26"/>
      <c r="I19" s="25"/>
      <c r="L19" s="31"/>
      <c r="M19" s="31"/>
      <c r="N19" s="26"/>
      <c r="O19" s="25"/>
    </row>
    <row r="20" spans="1:15" x14ac:dyDescent="0.3">
      <c r="G20" s="31"/>
      <c r="L20" s="31"/>
      <c r="M20" s="31"/>
    </row>
    <row r="21" spans="1:15" x14ac:dyDescent="0.3">
      <c r="C21" s="37" t="s">
        <v>41</v>
      </c>
      <c r="D21" s="38">
        <v>37654786268</v>
      </c>
      <c r="G21" s="31"/>
      <c r="L21" s="31"/>
      <c r="M21" s="31"/>
    </row>
    <row r="22" spans="1:15" x14ac:dyDescent="0.3">
      <c r="G22" s="31"/>
      <c r="L22" s="31"/>
      <c r="M22" s="31"/>
    </row>
    <row r="23" spans="1:15" x14ac:dyDescent="0.3">
      <c r="B23" s="297" t="s">
        <v>28</v>
      </c>
      <c r="C23" s="297"/>
      <c r="D23" s="34">
        <f>+ROUND(D19/($D$1*D16),2)</f>
        <v>105.35</v>
      </c>
      <c r="G23" s="297"/>
      <c r="H23" s="297"/>
      <c r="I23" s="31"/>
      <c r="L23" s="297"/>
      <c r="M23" s="297"/>
      <c r="N23" s="297"/>
      <c r="O23" s="31"/>
    </row>
    <row r="24" spans="1:15" x14ac:dyDescent="0.3">
      <c r="B24" s="36"/>
      <c r="C24" s="37" t="s">
        <v>29</v>
      </c>
      <c r="D24" s="38">
        <f>IF(D23&lt;=3,60,IF(D23&lt;=6,80,IF(D23&lt;=10,100,120)))</f>
        <v>120</v>
      </c>
      <c r="G24" s="39"/>
      <c r="H24" s="40"/>
      <c r="I24" s="41"/>
      <c r="L24" s="39"/>
      <c r="M24" s="39"/>
      <c r="N24" s="40"/>
      <c r="O24" s="41"/>
    </row>
    <row r="25" spans="1:15" x14ac:dyDescent="0.3">
      <c r="D25" s="34"/>
      <c r="G25" s="31"/>
      <c r="I25" s="31"/>
      <c r="L25" s="31"/>
      <c r="M25" s="31"/>
      <c r="O25" s="31"/>
    </row>
    <row r="26" spans="1:15" x14ac:dyDescent="0.3">
      <c r="B26" s="297" t="s">
        <v>30</v>
      </c>
      <c r="C26" s="297"/>
      <c r="D26" s="34">
        <v>103.23</v>
      </c>
      <c r="G26" s="297"/>
      <c r="H26" s="297"/>
      <c r="I26" s="31"/>
      <c r="L26" s="297"/>
      <c r="M26" s="297"/>
      <c r="N26" s="297"/>
      <c r="O26" s="31"/>
    </row>
    <row r="27" spans="1:15" x14ac:dyDescent="0.3">
      <c r="B27" s="36"/>
      <c r="C27" s="37" t="s">
        <v>31</v>
      </c>
      <c r="D27" s="42">
        <f>IF(D26&lt;0.5,20,IF(D26&lt;0.75,25,IF(D26&lt;1,30,IF(D26&lt;1.5,35,40))))</f>
        <v>40</v>
      </c>
      <c r="G27" s="39"/>
      <c r="H27" s="40"/>
      <c r="I27" s="25"/>
      <c r="L27" s="39"/>
      <c r="M27" s="39"/>
      <c r="N27" s="40"/>
      <c r="O27" s="25"/>
    </row>
    <row r="28" spans="1:15" x14ac:dyDescent="0.3">
      <c r="G28" s="31"/>
      <c r="L28" s="31"/>
      <c r="M28" s="31"/>
    </row>
    <row r="29" spans="1:15" x14ac:dyDescent="0.3">
      <c r="B29" s="297" t="s">
        <v>32</v>
      </c>
      <c r="C29" s="297"/>
      <c r="D29" s="34">
        <v>12</v>
      </c>
      <c r="G29" s="297"/>
      <c r="H29" s="297"/>
      <c r="I29" s="31"/>
      <c r="L29" s="297"/>
      <c r="M29" s="297"/>
      <c r="N29" s="297"/>
      <c r="O29" s="31"/>
    </row>
    <row r="30" spans="1:15" x14ac:dyDescent="0.3">
      <c r="B30" s="36"/>
      <c r="C30" s="37" t="s">
        <v>33</v>
      </c>
      <c r="D30" s="38">
        <f>IF(D29&gt;=11,40,IF(D29&gt;=6,30,20))</f>
        <v>40</v>
      </c>
      <c r="G30" s="39"/>
      <c r="H30" s="40"/>
      <c r="I30" s="41"/>
      <c r="L30" s="39"/>
      <c r="M30" s="39"/>
      <c r="N30" s="40"/>
      <c r="O30" s="41"/>
    </row>
    <row r="31" spans="1:15" x14ac:dyDescent="0.3">
      <c r="G31" s="31"/>
      <c r="L31" s="31"/>
      <c r="M31" s="31"/>
    </row>
    <row r="32" spans="1:15" x14ac:dyDescent="0.3">
      <c r="A32" s="313" t="s">
        <v>34</v>
      </c>
      <c r="B32" s="313"/>
      <c r="C32" s="313"/>
      <c r="D32" s="313"/>
      <c r="F32" s="301"/>
      <c r="G32" s="301"/>
      <c r="H32" s="301"/>
      <c r="I32" s="301"/>
      <c r="K32" s="301"/>
      <c r="L32" s="301"/>
      <c r="M32" s="301"/>
      <c r="N32" s="301"/>
      <c r="O32" s="301"/>
    </row>
    <row r="33" spans="1:18" x14ac:dyDescent="0.3">
      <c r="A33" s="43" t="s">
        <v>23</v>
      </c>
      <c r="B33" s="43" t="s">
        <v>35</v>
      </c>
      <c r="C33" s="43" t="s">
        <v>36</v>
      </c>
      <c r="D33" s="43" t="s">
        <v>37</v>
      </c>
      <c r="F33" s="44"/>
      <c r="G33" s="44"/>
      <c r="H33" s="44"/>
      <c r="I33" s="44"/>
      <c r="K33" s="44"/>
      <c r="L33" s="44"/>
      <c r="M33" s="44"/>
      <c r="N33" s="44"/>
      <c r="O33" s="44"/>
    </row>
    <row r="34" spans="1:18" x14ac:dyDescent="0.3">
      <c r="A34" s="45">
        <v>1</v>
      </c>
      <c r="B34" s="46">
        <v>6409487890</v>
      </c>
      <c r="C34" s="45">
        <v>7</v>
      </c>
      <c r="D34" s="47">
        <v>133</v>
      </c>
      <c r="G34" s="48"/>
      <c r="H34" s="48"/>
      <c r="I34" s="48"/>
      <c r="L34" s="48"/>
      <c r="M34" s="48"/>
      <c r="N34" s="48"/>
      <c r="O34" s="48"/>
      <c r="P34" s="48"/>
      <c r="Q34" s="49"/>
      <c r="R34" s="31"/>
    </row>
    <row r="35" spans="1:18" x14ac:dyDescent="0.3">
      <c r="A35" s="43" t="s">
        <v>23</v>
      </c>
      <c r="B35" s="43" t="s">
        <v>38</v>
      </c>
      <c r="C35" s="43" t="s">
        <v>25</v>
      </c>
      <c r="D35" s="45" t="s">
        <v>39</v>
      </c>
      <c r="F35" s="44"/>
      <c r="G35" s="44"/>
      <c r="H35" s="44"/>
      <c r="K35" s="44"/>
      <c r="L35" s="44"/>
      <c r="M35" s="44"/>
      <c r="N35" s="44"/>
      <c r="O35" s="44"/>
    </row>
    <row r="36" spans="1:18" x14ac:dyDescent="0.3">
      <c r="A36" s="45">
        <v>1</v>
      </c>
      <c r="B36" s="47">
        <f>C34*30-D34</f>
        <v>77</v>
      </c>
      <c r="C36" s="29">
        <v>1</v>
      </c>
      <c r="D36" s="28">
        <f>+ROUND((B34*B36*C36)/(C34*30),0)</f>
        <v>2350145560</v>
      </c>
      <c r="G36" s="33"/>
      <c r="H36" s="32"/>
      <c r="I36" s="31"/>
      <c r="L36" s="44"/>
      <c r="M36" s="44"/>
      <c r="N36" s="44"/>
      <c r="O36" s="44"/>
    </row>
    <row r="37" spans="1:18" x14ac:dyDescent="0.3">
      <c r="C37" s="37" t="s">
        <v>40</v>
      </c>
      <c r="D37" s="50">
        <f>+SUM(D36:D36)</f>
        <v>2350145560</v>
      </c>
      <c r="G37" s="31"/>
      <c r="H37" s="40"/>
      <c r="I37" s="51"/>
      <c r="L37" s="31"/>
      <c r="M37" s="31"/>
      <c r="N37" s="40"/>
      <c r="O37" s="51"/>
    </row>
    <row r="38" spans="1:18" x14ac:dyDescent="0.3">
      <c r="C38" s="40"/>
      <c r="D38" s="40"/>
      <c r="G38" s="31"/>
      <c r="H38" s="40"/>
      <c r="I38" s="51"/>
      <c r="L38" s="31"/>
      <c r="M38" s="31"/>
      <c r="N38" s="40"/>
      <c r="O38" s="51"/>
    </row>
    <row r="40" spans="1:18" x14ac:dyDescent="0.3">
      <c r="A40" s="310" t="str">
        <f>'[1]Exp general'!A27&amp;" "&amp;'[1]Exp general'!B27</f>
        <v>2 CARMABI CONSTRUCCIONES S.A.S</v>
      </c>
      <c r="B40" s="311"/>
      <c r="C40" s="311"/>
      <c r="D40" s="311"/>
      <c r="E40" s="311"/>
      <c r="F40" s="311"/>
      <c r="G40" s="311"/>
      <c r="H40" s="311"/>
      <c r="I40" s="311"/>
      <c r="J40" s="311"/>
      <c r="K40" s="311"/>
      <c r="L40" s="311"/>
      <c r="M40" s="311"/>
      <c r="N40" s="311"/>
      <c r="O40" s="312"/>
    </row>
    <row r="42" spans="1:18" ht="15" customHeight="1" x14ac:dyDescent="0.3">
      <c r="A42" s="305" t="str">
        <f>+A40</f>
        <v>2 CARMABI CONSTRUCCIONES S.A.S</v>
      </c>
      <c r="B42" s="306"/>
      <c r="C42" s="306"/>
      <c r="D42" s="307"/>
      <c r="F42" s="52"/>
      <c r="G42" s="52"/>
      <c r="H42" s="52"/>
      <c r="I42" s="52"/>
      <c r="K42" s="308"/>
      <c r="L42" s="308"/>
      <c r="M42" s="308"/>
      <c r="N42" s="308"/>
      <c r="O42" s="308"/>
    </row>
    <row r="43" spans="1:18" ht="15" customHeight="1" x14ac:dyDescent="0.3">
      <c r="A43" s="305" t="s">
        <v>22</v>
      </c>
      <c r="B43" s="306"/>
      <c r="C43" s="307"/>
      <c r="D43" s="21">
        <f>'[1]Exp general'!G26</f>
        <v>1</v>
      </c>
      <c r="F43" s="52"/>
      <c r="G43" s="52"/>
      <c r="H43" s="52"/>
      <c r="I43" s="52"/>
      <c r="K43" s="308"/>
      <c r="L43" s="308"/>
      <c r="M43" s="308"/>
      <c r="N43" s="308"/>
      <c r="O43" s="53"/>
    </row>
    <row r="44" spans="1:18" x14ac:dyDescent="0.3">
      <c r="A44" s="23" t="s">
        <v>23</v>
      </c>
      <c r="B44" s="23" t="s">
        <v>24</v>
      </c>
      <c r="C44" s="24" t="s">
        <v>25</v>
      </c>
      <c r="D44" s="24" t="s">
        <v>26</v>
      </c>
      <c r="F44" s="52"/>
      <c r="G44" s="52"/>
      <c r="H44" s="52"/>
      <c r="I44" s="52"/>
      <c r="K44" s="52"/>
      <c r="L44" s="52"/>
      <c r="M44" s="52"/>
      <c r="N44" s="26"/>
      <c r="O44" s="26"/>
    </row>
    <row r="45" spans="1:18" x14ac:dyDescent="0.3">
      <c r="A45" s="54">
        <v>1</v>
      </c>
      <c r="B45" s="28">
        <v>3766.55</v>
      </c>
      <c r="C45" s="29">
        <v>1</v>
      </c>
      <c r="D45" s="28">
        <f>ROUND(B45*C45,2)</f>
        <v>3766.55</v>
      </c>
      <c r="F45" s="52"/>
      <c r="G45" s="52"/>
      <c r="H45" s="52"/>
      <c r="I45" s="52"/>
      <c r="K45" s="55"/>
      <c r="L45" s="56"/>
      <c r="M45" s="56"/>
      <c r="N45" s="57"/>
      <c r="O45" s="56"/>
    </row>
    <row r="46" spans="1:18" x14ac:dyDescent="0.3">
      <c r="C46" s="24" t="s">
        <v>27</v>
      </c>
      <c r="D46" s="35">
        <f>SUM(D45:D45)</f>
        <v>3766.55</v>
      </c>
      <c r="F46" s="52"/>
      <c r="G46" s="52"/>
      <c r="H46" s="52"/>
      <c r="I46" s="52"/>
      <c r="L46" s="56"/>
      <c r="M46" s="56"/>
      <c r="N46" s="26"/>
      <c r="O46" s="25"/>
    </row>
    <row r="47" spans="1:18" x14ac:dyDescent="0.3">
      <c r="G47" s="34"/>
      <c r="L47" s="56"/>
      <c r="M47" s="56"/>
    </row>
    <row r="48" spans="1:18" ht="15" customHeight="1" x14ac:dyDescent="0.3">
      <c r="B48" s="297" t="s">
        <v>28</v>
      </c>
      <c r="C48" s="297"/>
      <c r="D48" s="34">
        <f>ROUND(D46/($D$1*D43),2)</f>
        <v>1.01</v>
      </c>
      <c r="G48" s="52"/>
      <c r="H48" s="52"/>
      <c r="I48" s="52"/>
      <c r="K48" s="58"/>
      <c r="L48" s="58"/>
      <c r="M48" s="58"/>
      <c r="N48" s="58"/>
      <c r="O48" s="58"/>
    </row>
    <row r="49" spans="1:18" x14ac:dyDescent="0.3">
      <c r="B49" s="36"/>
      <c r="C49" s="37" t="s">
        <v>29</v>
      </c>
      <c r="D49" s="38">
        <f>IF(D48&lt;=3,60,IF(D48&lt;=6,80,IF(D48&lt;=10,100,120)))</f>
        <v>60</v>
      </c>
      <c r="G49" s="52"/>
      <c r="H49" s="52"/>
      <c r="I49" s="52"/>
      <c r="K49" s="58"/>
      <c r="L49" s="58"/>
      <c r="M49" s="58"/>
      <c r="N49" s="58"/>
      <c r="O49" s="58"/>
    </row>
    <row r="50" spans="1:18" x14ac:dyDescent="0.3">
      <c r="D50" s="34"/>
      <c r="G50" s="52"/>
      <c r="H50" s="52"/>
      <c r="I50" s="52"/>
      <c r="K50" s="58"/>
      <c r="L50" s="58"/>
      <c r="M50" s="58"/>
      <c r="N50" s="58"/>
      <c r="O50" s="58"/>
    </row>
    <row r="51" spans="1:18" ht="15" customHeight="1" x14ac:dyDescent="0.3">
      <c r="B51" s="297" t="s">
        <v>30</v>
      </c>
      <c r="C51" s="297"/>
      <c r="D51" s="34">
        <v>5220.76</v>
      </c>
      <c r="G51" s="52"/>
      <c r="H51" s="52"/>
      <c r="I51" s="52"/>
      <c r="K51" s="58"/>
      <c r="L51" s="58"/>
      <c r="M51" s="58"/>
      <c r="N51" s="58"/>
      <c r="O51" s="58"/>
    </row>
    <row r="52" spans="1:18" x14ac:dyDescent="0.3">
      <c r="B52" s="36"/>
      <c r="C52" s="37" t="s">
        <v>31</v>
      </c>
      <c r="D52" s="42">
        <f>IF(D51&lt;0.5,20,IF(D51&lt;0.75,25,IF(D51&lt;1,30,IF(D51&lt;1.5,35,40))))</f>
        <v>40</v>
      </c>
      <c r="G52" s="52"/>
      <c r="H52" s="52"/>
      <c r="I52" s="52"/>
      <c r="K52" s="58"/>
      <c r="L52" s="58"/>
      <c r="M52" s="58"/>
      <c r="N52" s="58"/>
      <c r="O52" s="58"/>
    </row>
    <row r="53" spans="1:18" x14ac:dyDescent="0.3">
      <c r="G53" s="52"/>
      <c r="H53" s="52"/>
      <c r="I53" s="52"/>
      <c r="K53" s="58"/>
      <c r="L53" s="58"/>
      <c r="M53" s="58"/>
      <c r="N53" s="58"/>
      <c r="O53" s="58"/>
    </row>
    <row r="54" spans="1:18" ht="15" customHeight="1" x14ac:dyDescent="0.3">
      <c r="B54" s="297" t="s">
        <v>32</v>
      </c>
      <c r="C54" s="297"/>
      <c r="D54" s="59">
        <v>1</v>
      </c>
      <c r="G54" s="52"/>
      <c r="H54" s="52"/>
      <c r="I54" s="52"/>
      <c r="K54" s="58"/>
      <c r="L54" s="58"/>
      <c r="M54" s="58"/>
      <c r="N54" s="58"/>
      <c r="O54" s="58"/>
    </row>
    <row r="55" spans="1:18" x14ac:dyDescent="0.3">
      <c r="B55" s="36"/>
      <c r="C55" s="37" t="s">
        <v>33</v>
      </c>
      <c r="D55" s="38">
        <f>IF(D54&gt;=11,40,IF(D54&gt;=6,30,20))</f>
        <v>20</v>
      </c>
      <c r="G55" s="52"/>
      <c r="H55" s="52"/>
      <c r="I55" s="52"/>
      <c r="K55" s="58"/>
      <c r="L55" s="58"/>
      <c r="M55" s="58"/>
      <c r="N55" s="58"/>
      <c r="O55" s="58"/>
    </row>
    <row r="56" spans="1:18" x14ac:dyDescent="0.3">
      <c r="G56" s="34"/>
      <c r="K56" s="58"/>
      <c r="L56" s="58"/>
      <c r="M56" s="58"/>
      <c r="N56" s="58"/>
      <c r="O56" s="58"/>
    </row>
    <row r="57" spans="1:18" ht="15" customHeight="1" x14ac:dyDescent="0.3">
      <c r="A57" s="298" t="s">
        <v>34</v>
      </c>
      <c r="B57" s="299"/>
      <c r="C57" s="299"/>
      <c r="D57" s="300"/>
      <c r="F57" s="52"/>
      <c r="G57" s="52"/>
      <c r="H57" s="52"/>
      <c r="I57" s="52"/>
      <c r="K57" s="58"/>
      <c r="L57" s="58"/>
      <c r="M57" s="58"/>
      <c r="N57" s="58"/>
      <c r="O57" s="58"/>
      <c r="Q57" s="309"/>
      <c r="R57" s="309"/>
    </row>
    <row r="58" spans="1:18" x14ac:dyDescent="0.3">
      <c r="A58" s="43" t="s">
        <v>23</v>
      </c>
      <c r="B58" s="43" t="s">
        <v>35</v>
      </c>
      <c r="C58" s="43" t="s">
        <v>36</v>
      </c>
      <c r="D58" s="43" t="s">
        <v>37</v>
      </c>
      <c r="F58" s="52"/>
      <c r="G58" s="52"/>
      <c r="H58" s="52"/>
      <c r="I58" s="52"/>
      <c r="K58" s="58"/>
      <c r="L58" s="58"/>
      <c r="M58" s="58"/>
      <c r="N58" s="58"/>
      <c r="O58" s="58"/>
      <c r="R58" s="48"/>
    </row>
    <row r="59" spans="1:18" x14ac:dyDescent="0.3">
      <c r="A59" s="43">
        <v>1</v>
      </c>
      <c r="B59" s="46">
        <v>393814190</v>
      </c>
      <c r="C59" s="43">
        <v>1</v>
      </c>
      <c r="D59" s="60">
        <f>+I59</f>
        <v>0</v>
      </c>
      <c r="F59" s="52"/>
      <c r="G59" s="52"/>
      <c r="H59" s="52"/>
      <c r="I59" s="61">
        <f>+H59-G59</f>
        <v>0</v>
      </c>
      <c r="K59" s="58"/>
      <c r="L59" s="58"/>
      <c r="M59" s="58"/>
      <c r="N59" s="58"/>
      <c r="O59" s="58"/>
      <c r="P59" s="44"/>
      <c r="R59" s="48"/>
    </row>
    <row r="60" spans="1:18" x14ac:dyDescent="0.3">
      <c r="A60" s="43">
        <v>2</v>
      </c>
      <c r="B60" s="46">
        <v>71847601</v>
      </c>
      <c r="C60" s="43">
        <v>2</v>
      </c>
      <c r="D60" s="60">
        <f>+I60</f>
        <v>41</v>
      </c>
      <c r="F60" s="52"/>
      <c r="G60" s="48">
        <v>44184</v>
      </c>
      <c r="H60" s="48">
        <v>44225</v>
      </c>
      <c r="I60" s="61">
        <f>+H60-G60</f>
        <v>41</v>
      </c>
      <c r="K60" s="58"/>
      <c r="L60" s="58"/>
      <c r="M60" s="58"/>
      <c r="N60" s="58"/>
      <c r="O60" s="58"/>
      <c r="P60" s="44"/>
      <c r="R60" s="48"/>
    </row>
    <row r="61" spans="1:18" x14ac:dyDescent="0.3">
      <c r="A61" s="43">
        <v>3</v>
      </c>
      <c r="B61" s="46">
        <v>73330394</v>
      </c>
      <c r="C61" s="43">
        <v>2</v>
      </c>
      <c r="D61" s="60">
        <f>I61</f>
        <v>0</v>
      </c>
      <c r="F61" s="52"/>
      <c r="G61" s="48">
        <v>44225</v>
      </c>
      <c r="H61" s="48">
        <v>44225</v>
      </c>
      <c r="I61" s="61">
        <f>+H61-G61</f>
        <v>0</v>
      </c>
      <c r="K61" s="58"/>
      <c r="L61" s="58"/>
      <c r="M61" s="58"/>
      <c r="N61" s="58"/>
      <c r="O61" s="58"/>
      <c r="P61" s="44"/>
      <c r="R61" s="48"/>
    </row>
    <row r="62" spans="1:18" x14ac:dyDescent="0.3">
      <c r="A62" s="43">
        <v>4</v>
      </c>
      <c r="B62" s="46">
        <v>142441678</v>
      </c>
      <c r="C62" s="43">
        <v>2</v>
      </c>
      <c r="D62" s="60">
        <f>I62</f>
        <v>0</v>
      </c>
      <c r="F62" s="52"/>
      <c r="G62" s="48">
        <v>44225</v>
      </c>
      <c r="H62" s="48">
        <v>44225</v>
      </c>
      <c r="I62" s="61">
        <f>+H62-G62</f>
        <v>0</v>
      </c>
      <c r="K62" s="58"/>
      <c r="L62" s="58"/>
      <c r="M62" s="58"/>
      <c r="N62" s="58"/>
      <c r="O62" s="58"/>
      <c r="R62" s="48"/>
    </row>
    <row r="63" spans="1:18" x14ac:dyDescent="0.3">
      <c r="A63" s="43" t="s">
        <v>23</v>
      </c>
      <c r="B63" s="43" t="s">
        <v>38</v>
      </c>
      <c r="C63" s="43" t="s">
        <v>25</v>
      </c>
      <c r="D63" s="45" t="s">
        <v>39</v>
      </c>
      <c r="F63" s="52"/>
      <c r="G63" s="52"/>
      <c r="H63" s="52"/>
      <c r="I63" s="52"/>
      <c r="K63" s="58"/>
      <c r="L63" s="58"/>
      <c r="M63" s="58"/>
      <c r="N63" s="58"/>
      <c r="O63" s="58"/>
    </row>
    <row r="64" spans="1:18" x14ac:dyDescent="0.3">
      <c r="A64" s="43">
        <v>1</v>
      </c>
      <c r="B64" s="62">
        <f>C59*30-D59</f>
        <v>30</v>
      </c>
      <c r="C64" s="63">
        <v>1</v>
      </c>
      <c r="D64" s="28">
        <f>ROUND((B59*B64*C64)/(C59*30),0)</f>
        <v>393814190</v>
      </c>
      <c r="F64" s="52"/>
      <c r="G64" s="52"/>
      <c r="H64" s="52"/>
      <c r="I64" s="52"/>
      <c r="K64" s="58"/>
      <c r="L64" s="58"/>
      <c r="M64" s="58"/>
      <c r="N64" s="58"/>
      <c r="O64" s="58"/>
    </row>
    <row r="65" spans="1:15" x14ac:dyDescent="0.3">
      <c r="A65" s="43">
        <v>2</v>
      </c>
      <c r="B65" s="43">
        <f>C60*30-D60</f>
        <v>19</v>
      </c>
      <c r="C65" s="63">
        <v>1</v>
      </c>
      <c r="D65" s="28">
        <f>ROUND((B60*B65*C65)/(C60*30),0)</f>
        <v>22751740</v>
      </c>
      <c r="F65" s="52"/>
      <c r="G65" s="52"/>
      <c r="H65" s="52"/>
      <c r="I65" s="52"/>
      <c r="K65" s="58"/>
      <c r="L65" s="58"/>
      <c r="M65" s="58"/>
      <c r="N65" s="58"/>
      <c r="O65" s="58"/>
    </row>
    <row r="66" spans="1:15" x14ac:dyDescent="0.3">
      <c r="A66" s="43">
        <v>3</v>
      </c>
      <c r="B66" s="43">
        <f>C61*30-D61</f>
        <v>60</v>
      </c>
      <c r="C66" s="63">
        <v>0.75</v>
      </c>
      <c r="D66" s="28">
        <f>ROUND((B61*B66*C66)/(C61*30),0)</f>
        <v>54997796</v>
      </c>
      <c r="F66" s="52"/>
      <c r="G66" s="52"/>
      <c r="H66" s="52"/>
      <c r="I66" s="52"/>
      <c r="K66" s="58"/>
      <c r="L66" s="58"/>
      <c r="M66" s="58"/>
      <c r="N66" s="58"/>
      <c r="O66" s="58"/>
    </row>
    <row r="67" spans="1:15" x14ac:dyDescent="0.3">
      <c r="A67" s="43">
        <v>4</v>
      </c>
      <c r="B67" s="43">
        <f>C62*30-D62</f>
        <v>60</v>
      </c>
      <c r="C67" s="63">
        <v>1</v>
      </c>
      <c r="D67" s="28">
        <f>ROUND((B62*B67*C67)/(C62*30),0)</f>
        <v>142441678</v>
      </c>
      <c r="F67" s="52"/>
      <c r="G67" s="52"/>
      <c r="H67" s="52"/>
      <c r="I67" s="52"/>
      <c r="K67" s="58"/>
      <c r="L67" s="58"/>
      <c r="M67" s="58"/>
      <c r="N67" s="58"/>
      <c r="O67" s="58"/>
    </row>
    <row r="68" spans="1:15" x14ac:dyDescent="0.3">
      <c r="C68" s="37" t="s">
        <v>40</v>
      </c>
      <c r="D68" s="50">
        <f>+SUM(D64:D67)</f>
        <v>614005404</v>
      </c>
      <c r="F68" s="52"/>
      <c r="G68" s="52"/>
      <c r="H68" s="52"/>
      <c r="I68" s="52"/>
      <c r="K68" s="58"/>
      <c r="L68" s="58"/>
      <c r="M68" s="58"/>
      <c r="N68" s="58"/>
      <c r="O68" s="58"/>
    </row>
    <row r="69" spans="1:15" x14ac:dyDescent="0.3">
      <c r="C69" s="40"/>
      <c r="D69" s="51"/>
      <c r="G69" s="64"/>
      <c r="H69" s="40"/>
      <c r="I69" s="51"/>
      <c r="L69" s="64"/>
      <c r="M69" s="64"/>
      <c r="N69" s="40"/>
      <c r="O69" s="65"/>
    </row>
    <row r="70" spans="1:15" x14ac:dyDescent="0.3">
      <c r="C70" s="40"/>
      <c r="D70" s="51"/>
      <c r="G70" s="64"/>
      <c r="H70" s="40"/>
      <c r="I70" s="51"/>
      <c r="L70" s="64"/>
      <c r="M70" s="64"/>
      <c r="N70" s="40"/>
      <c r="O70" s="65"/>
    </row>
    <row r="71" spans="1:15" ht="15" customHeight="1" x14ac:dyDescent="0.3">
      <c r="A71" s="310" t="str">
        <f>'[1]Exp general'!A28&amp;" "&amp;'[1]Exp general'!B28</f>
        <v>3 ELEAZAR GIRALDO FAJURI</v>
      </c>
      <c r="B71" s="311"/>
      <c r="C71" s="311"/>
      <c r="D71" s="311"/>
      <c r="E71" s="311"/>
      <c r="F71" s="311"/>
      <c r="G71" s="311"/>
      <c r="H71" s="311"/>
      <c r="I71" s="311"/>
      <c r="J71" s="311"/>
      <c r="K71" s="311"/>
      <c r="L71" s="311"/>
      <c r="M71" s="311"/>
      <c r="N71" s="311"/>
      <c r="O71" s="312"/>
    </row>
    <row r="73" spans="1:15" ht="15" customHeight="1" x14ac:dyDescent="0.3">
      <c r="A73" s="305" t="str">
        <f>+A71</f>
        <v>3 ELEAZAR GIRALDO FAJURI</v>
      </c>
      <c r="B73" s="306"/>
      <c r="C73" s="306"/>
      <c r="D73" s="307"/>
      <c r="F73" s="31"/>
      <c r="G73" s="31"/>
      <c r="H73" s="31"/>
      <c r="I73" s="31"/>
      <c r="J73" s="31"/>
      <c r="K73" s="31"/>
      <c r="L73" s="31"/>
      <c r="M73" s="31"/>
      <c r="N73" s="31"/>
      <c r="O73" s="26"/>
    </row>
    <row r="74" spans="1:15" ht="15" customHeight="1" x14ac:dyDescent="0.3">
      <c r="A74" s="305" t="s">
        <v>22</v>
      </c>
      <c r="B74" s="306"/>
      <c r="C74" s="307"/>
      <c r="D74" s="21">
        <f>'[1]Exp general'!G27</f>
        <v>1</v>
      </c>
      <c r="F74" s="31"/>
      <c r="G74" s="31"/>
      <c r="H74" s="31"/>
      <c r="I74" s="31"/>
      <c r="J74" s="31"/>
      <c r="K74" s="31"/>
      <c r="L74" s="31"/>
      <c r="M74" s="31"/>
      <c r="N74" s="31"/>
      <c r="O74" s="22"/>
    </row>
    <row r="75" spans="1:15" x14ac:dyDescent="0.3">
      <c r="A75" s="23" t="s">
        <v>23</v>
      </c>
      <c r="B75" s="23" t="s">
        <v>24</v>
      </c>
      <c r="C75" s="24" t="s">
        <v>25</v>
      </c>
      <c r="D75" s="24" t="s">
        <v>26</v>
      </c>
      <c r="F75" s="31"/>
      <c r="G75" s="31"/>
      <c r="H75" s="31"/>
      <c r="I75" s="31"/>
      <c r="J75" s="31"/>
      <c r="K75" s="31"/>
      <c r="L75" s="31"/>
      <c r="M75" s="31"/>
      <c r="N75" s="31"/>
      <c r="O75" s="26"/>
    </row>
    <row r="76" spans="1:15" x14ac:dyDescent="0.3">
      <c r="A76" s="54">
        <v>1</v>
      </c>
      <c r="B76" s="28">
        <v>18121.18</v>
      </c>
      <c r="C76" s="29">
        <v>1</v>
      </c>
      <c r="D76" s="28">
        <f t="shared" ref="D76" si="0">+ROUND(B76*C76,2)</f>
        <v>18121.18</v>
      </c>
      <c r="F76" s="31"/>
      <c r="G76" s="31">
        <f>15006439925/908526</f>
        <v>16517.347797421316</v>
      </c>
      <c r="H76" s="31"/>
      <c r="I76" s="31"/>
      <c r="J76" s="31"/>
      <c r="K76" s="31"/>
      <c r="L76" s="31"/>
      <c r="M76" s="31"/>
      <c r="N76" s="31"/>
      <c r="O76" s="31"/>
    </row>
    <row r="77" spans="1:15" x14ac:dyDescent="0.3">
      <c r="C77" s="24" t="s">
        <v>27</v>
      </c>
      <c r="D77" s="35">
        <f>SUM(D76:D76)</f>
        <v>18121.18</v>
      </c>
      <c r="F77" s="31"/>
      <c r="G77" s="31"/>
      <c r="H77" s="31"/>
      <c r="I77" s="31"/>
      <c r="J77" s="31"/>
      <c r="K77" s="31"/>
      <c r="L77" s="31"/>
      <c r="M77" s="31"/>
      <c r="N77" s="31"/>
      <c r="O77" s="25"/>
    </row>
    <row r="78" spans="1:15" x14ac:dyDescent="0.3">
      <c r="G78" s="34"/>
      <c r="L78" s="34"/>
    </row>
    <row r="79" spans="1:15" ht="15" customHeight="1" x14ac:dyDescent="0.3">
      <c r="B79" s="297" t="s">
        <v>28</v>
      </c>
      <c r="C79" s="297"/>
      <c r="D79" s="34">
        <f>ROUND(D77/($D$1*D74),2)</f>
        <v>4.8600000000000003</v>
      </c>
      <c r="G79" s="31"/>
      <c r="H79" s="31"/>
      <c r="I79" s="31"/>
      <c r="J79" s="31"/>
      <c r="K79" s="31"/>
      <c r="L79" s="31"/>
      <c r="M79" s="31"/>
      <c r="N79" s="31"/>
      <c r="O79" s="31"/>
    </row>
    <row r="80" spans="1:15" x14ac:dyDescent="0.3">
      <c r="B80" s="36"/>
      <c r="C80" s="37" t="s">
        <v>29</v>
      </c>
      <c r="D80" s="38">
        <f>IF(D79&lt;=3,60,IF(D79&lt;=6,80,IF(D79&lt;=10,100,120)))</f>
        <v>80</v>
      </c>
      <c r="G80" s="31"/>
      <c r="H80" s="31"/>
      <c r="I80" s="31"/>
      <c r="J80" s="31"/>
      <c r="K80" s="31"/>
      <c r="L80" s="31"/>
      <c r="M80" s="31"/>
      <c r="N80" s="31"/>
      <c r="O80" s="41"/>
    </row>
    <row r="81" spans="1:24" x14ac:dyDescent="0.3">
      <c r="D81" s="34"/>
      <c r="G81" s="31"/>
      <c r="H81" s="31"/>
      <c r="I81" s="31"/>
      <c r="J81" s="31"/>
      <c r="K81" s="31"/>
      <c r="L81" s="31"/>
      <c r="M81" s="31"/>
      <c r="N81" s="31"/>
      <c r="O81" s="31"/>
    </row>
    <row r="82" spans="1:24" ht="15" customHeight="1" x14ac:dyDescent="0.3">
      <c r="B82" s="297" t="s">
        <v>30</v>
      </c>
      <c r="C82" s="297"/>
      <c r="D82" s="34">
        <v>6807.43</v>
      </c>
      <c r="G82" s="31"/>
      <c r="H82" s="31"/>
      <c r="I82" s="31"/>
      <c r="J82" s="31"/>
      <c r="K82" s="31"/>
      <c r="L82" s="31"/>
      <c r="M82" s="31"/>
      <c r="N82" s="31"/>
      <c r="O82" s="31"/>
    </row>
    <row r="83" spans="1:24" x14ac:dyDescent="0.3">
      <c r="B83" s="36"/>
      <c r="C83" s="37" t="s">
        <v>31</v>
      </c>
      <c r="D83" s="42">
        <f>IF(D82&lt;0.5,20,IF(D82&lt;0.75,25,IF(D82&lt;1,30,IF(D82&lt;1.5,35,40))))</f>
        <v>40</v>
      </c>
      <c r="G83" s="31"/>
      <c r="H83" s="31"/>
      <c r="I83" s="31"/>
      <c r="J83" s="31"/>
      <c r="K83" s="31"/>
      <c r="L83" s="31"/>
      <c r="M83" s="31"/>
      <c r="N83" s="31"/>
      <c r="O83" s="25"/>
    </row>
    <row r="84" spans="1:24" x14ac:dyDescent="0.3">
      <c r="G84" s="31"/>
      <c r="H84" s="31"/>
      <c r="I84" s="31"/>
      <c r="J84" s="31"/>
      <c r="K84" s="31"/>
      <c r="L84" s="31"/>
      <c r="M84" s="31"/>
      <c r="N84" s="31"/>
    </row>
    <row r="85" spans="1:24" ht="15" customHeight="1" x14ac:dyDescent="0.3">
      <c r="B85" s="297" t="s">
        <v>32</v>
      </c>
      <c r="C85" s="297"/>
      <c r="D85" s="34">
        <v>1</v>
      </c>
      <c r="G85" s="31"/>
      <c r="H85" s="31"/>
      <c r="I85" s="31"/>
      <c r="J85" s="31"/>
      <c r="K85" s="31"/>
      <c r="L85" s="31"/>
      <c r="M85" s="31"/>
      <c r="N85" s="31"/>
      <c r="O85" s="31"/>
    </row>
    <row r="86" spans="1:24" x14ac:dyDescent="0.3">
      <c r="B86" s="36"/>
      <c r="C86" s="37" t="s">
        <v>33</v>
      </c>
      <c r="D86" s="38">
        <f>IF(D85&gt;=11,40,IF(D85&gt;=6,30,20))</f>
        <v>20</v>
      </c>
      <c r="G86" s="31"/>
      <c r="H86" s="31"/>
      <c r="I86" s="31"/>
      <c r="J86" s="31"/>
      <c r="K86" s="31"/>
      <c r="L86" s="31"/>
      <c r="M86" s="31"/>
      <c r="N86" s="31"/>
      <c r="O86" s="41"/>
    </row>
    <row r="87" spans="1:24" x14ac:dyDescent="0.3">
      <c r="G87" s="34"/>
      <c r="L87" s="34"/>
    </row>
    <row r="88" spans="1:24" ht="15" customHeight="1" x14ac:dyDescent="0.3">
      <c r="A88" s="298" t="s">
        <v>34</v>
      </c>
      <c r="B88" s="299"/>
      <c r="C88" s="299"/>
      <c r="D88" s="300"/>
      <c r="F88" s="31"/>
      <c r="G88" s="31"/>
      <c r="H88" s="31"/>
      <c r="I88" s="31"/>
      <c r="J88" s="31"/>
      <c r="K88" s="31"/>
      <c r="L88" s="31"/>
      <c r="M88" s="31"/>
      <c r="N88" s="31"/>
      <c r="O88" s="31"/>
      <c r="P88" s="31"/>
      <c r="Q88" s="31"/>
      <c r="R88" s="31"/>
      <c r="S88" s="31"/>
      <c r="T88" s="31"/>
      <c r="U88" s="31"/>
      <c r="V88" s="31"/>
      <c r="W88" s="31"/>
    </row>
    <row r="89" spans="1:24" x14ac:dyDescent="0.3">
      <c r="A89" s="43" t="s">
        <v>23</v>
      </c>
      <c r="B89" s="43" t="s">
        <v>35</v>
      </c>
      <c r="C89" s="43" t="s">
        <v>36</v>
      </c>
      <c r="D89" s="43" t="s">
        <v>37</v>
      </c>
      <c r="F89" s="31"/>
      <c r="G89" s="31"/>
      <c r="H89" s="31"/>
      <c r="I89" s="31"/>
      <c r="J89" s="31"/>
      <c r="K89" s="31"/>
      <c r="L89" s="31"/>
      <c r="M89" s="31"/>
      <c r="N89" s="31"/>
      <c r="O89" s="31"/>
      <c r="P89" s="31"/>
      <c r="Q89" s="31"/>
      <c r="R89" s="31"/>
      <c r="S89" s="31"/>
      <c r="T89" s="31"/>
      <c r="U89" s="31"/>
      <c r="V89" s="31"/>
      <c r="W89" s="31"/>
      <c r="X89" s="19">
        <f>Q89-P89+S89-R89+U89-T89+W89-V89</f>
        <v>0</v>
      </c>
    </row>
    <row r="90" spans="1:24" x14ac:dyDescent="0.3">
      <c r="A90" s="43">
        <v>1</v>
      </c>
      <c r="B90" s="46">
        <v>1324245366</v>
      </c>
      <c r="C90" s="43">
        <v>10</v>
      </c>
      <c r="D90" s="66">
        <f>+I90</f>
        <v>204</v>
      </c>
      <c r="F90" s="31"/>
      <c r="G90" s="48">
        <v>44021</v>
      </c>
      <c r="H90" s="48">
        <v>44225</v>
      </c>
      <c r="I90" s="31">
        <f>+H90-G90</f>
        <v>204</v>
      </c>
      <c r="J90" s="31"/>
      <c r="K90" s="31"/>
      <c r="L90" s="31"/>
      <c r="M90" s="31"/>
      <c r="N90" s="31"/>
      <c r="O90" s="31"/>
      <c r="P90" s="31"/>
      <c r="Q90" s="31"/>
      <c r="R90" s="31"/>
      <c r="S90" s="31"/>
      <c r="T90" s="31"/>
      <c r="U90" s="31"/>
      <c r="V90" s="31"/>
      <c r="W90" s="31"/>
    </row>
    <row r="91" spans="1:24" x14ac:dyDescent="0.3">
      <c r="A91" s="43">
        <v>2</v>
      </c>
      <c r="B91" s="46">
        <v>942368883</v>
      </c>
      <c r="C91" s="43">
        <v>8</v>
      </c>
      <c r="D91" s="66">
        <f t="shared" ref="D91" si="1">+I91</f>
        <v>207</v>
      </c>
      <c r="F91" s="31"/>
      <c r="G91" s="48">
        <v>44018</v>
      </c>
      <c r="H91" s="48">
        <v>44225</v>
      </c>
      <c r="I91" s="31">
        <f t="shared" ref="I91:I92" si="2">+H91-G91</f>
        <v>207</v>
      </c>
      <c r="J91" s="31"/>
      <c r="K91" s="31"/>
      <c r="L91" s="31"/>
      <c r="M91" s="31"/>
      <c r="N91" s="31"/>
      <c r="O91" s="31"/>
      <c r="P91" s="31"/>
      <c r="Q91" s="31"/>
      <c r="R91" s="31"/>
      <c r="S91" s="31"/>
      <c r="T91" s="31"/>
      <c r="U91" s="31"/>
      <c r="V91" s="31"/>
      <c r="W91" s="31"/>
    </row>
    <row r="92" spans="1:24" x14ac:dyDescent="0.3">
      <c r="A92" s="43">
        <v>3</v>
      </c>
      <c r="B92" s="46">
        <v>5574839601</v>
      </c>
      <c r="C92" s="43">
        <v>11</v>
      </c>
      <c r="D92" s="66">
        <f>+I92</f>
        <v>73</v>
      </c>
      <c r="F92" s="31"/>
      <c r="G92" s="48">
        <v>44067</v>
      </c>
      <c r="H92" s="48">
        <v>44140</v>
      </c>
      <c r="I92" s="31">
        <f t="shared" si="2"/>
        <v>73</v>
      </c>
      <c r="J92" s="31"/>
      <c r="L92" s="67"/>
      <c r="M92" s="31"/>
      <c r="N92" s="31"/>
      <c r="O92" s="31"/>
      <c r="P92" s="31"/>
      <c r="Q92" s="31"/>
      <c r="R92" s="31"/>
      <c r="S92" s="31"/>
      <c r="T92" s="31"/>
      <c r="U92" s="31"/>
      <c r="V92" s="31"/>
      <c r="W92" s="31"/>
    </row>
    <row r="93" spans="1:24" x14ac:dyDescent="0.3">
      <c r="A93" s="43" t="s">
        <v>23</v>
      </c>
      <c r="B93" s="43" t="s">
        <v>38</v>
      </c>
      <c r="C93" s="43" t="s">
        <v>25</v>
      </c>
      <c r="D93" s="45" t="s">
        <v>39</v>
      </c>
      <c r="F93" s="31"/>
      <c r="G93" s="31"/>
      <c r="H93" s="31"/>
      <c r="I93" s="31"/>
      <c r="J93" s="31"/>
      <c r="K93" s="31"/>
      <c r="L93" s="31"/>
      <c r="M93" s="31"/>
      <c r="N93" s="31"/>
      <c r="O93" s="31"/>
      <c r="P93" s="31"/>
      <c r="Q93" s="31"/>
      <c r="R93" s="31"/>
      <c r="S93" s="31"/>
      <c r="T93" s="31"/>
      <c r="U93" s="31"/>
      <c r="V93" s="31"/>
      <c r="W93" s="31"/>
    </row>
    <row r="94" spans="1:24" x14ac:dyDescent="0.3">
      <c r="A94" s="43">
        <v>1</v>
      </c>
      <c r="B94" s="62">
        <f>C90*30-D90</f>
        <v>96</v>
      </c>
      <c r="C94" s="63">
        <v>0.5</v>
      </c>
      <c r="D94" s="28">
        <f>+ROUND((B90*B94*C94)/(C90*30),0)</f>
        <v>211879259</v>
      </c>
      <c r="F94" s="31"/>
      <c r="G94" s="31"/>
      <c r="H94" s="31"/>
      <c r="I94" s="31"/>
      <c r="J94" s="31"/>
      <c r="K94" s="31"/>
      <c r="L94" s="31"/>
      <c r="M94" s="31"/>
      <c r="N94" s="31"/>
      <c r="O94" s="31"/>
      <c r="P94" s="31"/>
      <c r="Q94" s="31"/>
      <c r="R94" s="31"/>
      <c r="S94" s="31"/>
      <c r="T94" s="31"/>
      <c r="U94" s="31"/>
      <c r="V94" s="31"/>
      <c r="W94" s="31"/>
    </row>
    <row r="95" spans="1:24" x14ac:dyDescent="0.3">
      <c r="A95" s="43">
        <v>2</v>
      </c>
      <c r="B95" s="62">
        <f t="shared" ref="B95:B96" si="3">C91*30-D91</f>
        <v>33</v>
      </c>
      <c r="C95" s="63">
        <v>1</v>
      </c>
      <c r="D95" s="28">
        <f t="shared" ref="D95" si="4">+ROUND((B91*B95*C95)/(C91*30),0)</f>
        <v>129575721</v>
      </c>
      <c r="F95" s="31"/>
      <c r="G95" s="31"/>
      <c r="H95" s="31"/>
      <c r="I95" s="31"/>
      <c r="J95" s="31"/>
      <c r="K95" s="31"/>
      <c r="L95" s="31"/>
      <c r="M95" s="31"/>
      <c r="N95" s="31"/>
      <c r="O95" s="31"/>
      <c r="P95" s="31"/>
      <c r="Q95" s="31"/>
      <c r="R95" s="31"/>
      <c r="S95" s="31"/>
      <c r="T95" s="31"/>
      <c r="U95" s="31"/>
      <c r="V95" s="31"/>
      <c r="W95" s="31"/>
    </row>
    <row r="96" spans="1:24" x14ac:dyDescent="0.3">
      <c r="A96" s="43">
        <v>3</v>
      </c>
      <c r="B96" s="62">
        <f t="shared" si="3"/>
        <v>257</v>
      </c>
      <c r="C96" s="63">
        <v>0.6</v>
      </c>
      <c r="D96" s="28">
        <f>+ROUND((B92*B96*C96)/(C92*30),0)</f>
        <v>2604970504</v>
      </c>
      <c r="F96" s="31"/>
      <c r="G96" s="31"/>
      <c r="H96" s="31"/>
      <c r="I96" s="31"/>
      <c r="J96" s="31"/>
      <c r="K96" s="31"/>
      <c r="L96" s="31"/>
      <c r="M96" s="31"/>
      <c r="N96" s="31"/>
      <c r="O96" s="31"/>
      <c r="P96" s="31"/>
      <c r="Q96" s="31"/>
      <c r="R96" s="31"/>
      <c r="S96" s="31"/>
      <c r="T96" s="31"/>
      <c r="U96" s="31"/>
      <c r="V96" s="31"/>
      <c r="W96" s="31"/>
    </row>
    <row r="97" spans="1:23" x14ac:dyDescent="0.3">
      <c r="C97" s="37" t="s">
        <v>40</v>
      </c>
      <c r="D97" s="50">
        <f>+SUM(D94:D96)</f>
        <v>2946425484</v>
      </c>
      <c r="F97" s="31"/>
      <c r="G97" s="31"/>
      <c r="H97" s="31"/>
      <c r="I97" s="31"/>
      <c r="J97" s="31"/>
      <c r="K97" s="31"/>
      <c r="L97" s="31"/>
      <c r="M97" s="31"/>
      <c r="N97" s="31"/>
      <c r="O97" s="31"/>
      <c r="P97" s="31"/>
      <c r="Q97" s="31"/>
      <c r="R97" s="31"/>
      <c r="S97" s="31"/>
      <c r="T97" s="31"/>
      <c r="U97" s="31"/>
      <c r="V97" s="31"/>
      <c r="W97" s="31"/>
    </row>
    <row r="98" spans="1:23" x14ac:dyDescent="0.3">
      <c r="C98" s="40"/>
      <c r="D98" s="51"/>
      <c r="G98" s="34"/>
      <c r="H98" s="40"/>
      <c r="I98" s="51"/>
      <c r="L98" s="64"/>
      <c r="M98" s="64"/>
      <c r="N98" s="40"/>
      <c r="O98" s="65"/>
    </row>
    <row r="99" spans="1:23" x14ac:dyDescent="0.3">
      <c r="C99" s="40"/>
      <c r="D99" s="51"/>
      <c r="G99" s="34"/>
      <c r="H99" s="40"/>
      <c r="I99" s="51"/>
      <c r="L99" s="64"/>
      <c r="M99" s="64"/>
      <c r="N99" s="40"/>
      <c r="O99" s="65"/>
    </row>
    <row r="100" spans="1:23" ht="15" customHeight="1" x14ac:dyDescent="0.3">
      <c r="A100" s="310" t="str">
        <f>'[1]Exp general'!A29&amp;" "&amp;'[1]Exp general'!B29</f>
        <v>4 DIEGO REINEL FERNANDEZ ORDOÑEZ</v>
      </c>
      <c r="B100" s="311"/>
      <c r="C100" s="311"/>
      <c r="D100" s="311"/>
      <c r="E100" s="311"/>
      <c r="F100" s="311"/>
      <c r="G100" s="311"/>
      <c r="H100" s="311"/>
      <c r="I100" s="311"/>
      <c r="J100" s="311"/>
      <c r="K100" s="311"/>
      <c r="L100" s="311"/>
      <c r="M100" s="311"/>
      <c r="N100" s="311"/>
      <c r="O100" s="312"/>
    </row>
    <row r="102" spans="1:23" ht="15" customHeight="1" x14ac:dyDescent="0.3">
      <c r="A102" s="305" t="str">
        <f>+A100</f>
        <v>4 DIEGO REINEL FERNANDEZ ORDOÑEZ</v>
      </c>
      <c r="B102" s="306"/>
      <c r="C102" s="306"/>
      <c r="D102" s="307"/>
      <c r="F102" s="308"/>
      <c r="G102" s="308"/>
      <c r="H102" s="308"/>
      <c r="I102" s="308"/>
      <c r="K102" s="308"/>
      <c r="L102" s="308"/>
      <c r="M102" s="308"/>
      <c r="N102" s="308"/>
      <c r="O102" s="308"/>
    </row>
    <row r="103" spans="1:23" x14ac:dyDescent="0.3">
      <c r="A103" s="305" t="s">
        <v>22</v>
      </c>
      <c r="B103" s="306"/>
      <c r="C103" s="307"/>
      <c r="D103" s="21">
        <f>'[1]Exp general'!G27</f>
        <v>1</v>
      </c>
      <c r="F103" s="308"/>
      <c r="G103" s="308"/>
      <c r="H103" s="308"/>
      <c r="I103" s="53"/>
      <c r="K103" s="308"/>
      <c r="L103" s="308"/>
      <c r="M103" s="308"/>
      <c r="N103" s="308"/>
      <c r="O103" s="53"/>
    </row>
    <row r="104" spans="1:23" x14ac:dyDescent="0.3">
      <c r="A104" s="23" t="s">
        <v>23</v>
      </c>
      <c r="B104" s="23" t="s">
        <v>24</v>
      </c>
      <c r="C104" s="24" t="s">
        <v>25</v>
      </c>
      <c r="D104" s="24" t="s">
        <v>26</v>
      </c>
      <c r="F104" s="52"/>
      <c r="G104" s="52"/>
      <c r="H104" s="26"/>
      <c r="I104" s="26"/>
      <c r="K104" s="52"/>
      <c r="L104" s="52"/>
      <c r="M104" s="52"/>
      <c r="N104" s="26"/>
      <c r="O104" s="26"/>
    </row>
    <row r="105" spans="1:23" x14ac:dyDescent="0.3">
      <c r="A105" s="54">
        <v>1</v>
      </c>
      <c r="B105" s="28">
        <v>39913.46</v>
      </c>
      <c r="C105" s="29">
        <v>1</v>
      </c>
      <c r="D105" s="28">
        <f>ROUND(B105*C105,2)</f>
        <v>39913.46</v>
      </c>
      <c r="F105" s="55"/>
      <c r="G105" s="56"/>
      <c r="H105" s="57"/>
      <c r="I105" s="56"/>
      <c r="K105" s="55"/>
      <c r="L105" s="56"/>
      <c r="M105" s="56"/>
      <c r="N105" s="57"/>
      <c r="O105" s="56"/>
    </row>
    <row r="106" spans="1:23" x14ac:dyDescent="0.3">
      <c r="A106" s="54"/>
      <c r="B106" s="28"/>
      <c r="C106" s="29"/>
      <c r="D106" s="28"/>
      <c r="F106" s="55"/>
      <c r="G106" s="56"/>
      <c r="H106" s="57"/>
      <c r="I106" s="56"/>
      <c r="K106" s="55"/>
      <c r="L106" s="56"/>
      <c r="M106" s="56"/>
      <c r="N106" s="57"/>
      <c r="O106" s="56"/>
    </row>
    <row r="107" spans="1:23" x14ac:dyDescent="0.3">
      <c r="A107" s="54"/>
      <c r="B107" s="28"/>
      <c r="C107" s="29"/>
      <c r="D107" s="28"/>
      <c r="F107" s="55"/>
      <c r="G107" s="56"/>
      <c r="H107" s="57"/>
      <c r="I107" s="56"/>
      <c r="K107" s="68"/>
      <c r="L107" s="56"/>
      <c r="M107" s="56"/>
      <c r="N107" s="57"/>
      <c r="O107" s="56"/>
    </row>
    <row r="108" spans="1:23" x14ac:dyDescent="0.3">
      <c r="C108" s="24" t="s">
        <v>27</v>
      </c>
      <c r="D108" s="35">
        <f>SUM(D105:D107)</f>
        <v>39913.46</v>
      </c>
      <c r="G108" s="56"/>
      <c r="H108" s="26"/>
      <c r="I108" s="25"/>
      <c r="L108" s="56"/>
      <c r="M108" s="56"/>
      <c r="N108" s="26"/>
      <c r="O108" s="25"/>
    </row>
    <row r="109" spans="1:23" x14ac:dyDescent="0.3">
      <c r="G109" s="56"/>
      <c r="L109" s="56"/>
      <c r="M109" s="56"/>
    </row>
    <row r="110" spans="1:23" ht="15" customHeight="1" x14ac:dyDescent="0.3">
      <c r="B110" s="297" t="s">
        <v>28</v>
      </c>
      <c r="C110" s="297"/>
      <c r="D110" s="34">
        <f>ROUND(D108/($D$1*D103),2)</f>
        <v>10.71</v>
      </c>
      <c r="G110" s="297"/>
      <c r="H110" s="297"/>
      <c r="I110" s="56"/>
      <c r="L110" s="297"/>
      <c r="M110" s="297"/>
      <c r="N110" s="297"/>
      <c r="O110" s="56"/>
    </row>
    <row r="111" spans="1:23" x14ac:dyDescent="0.3">
      <c r="B111" s="36"/>
      <c r="C111" s="37" t="s">
        <v>29</v>
      </c>
      <c r="D111" s="38">
        <f>IF(D110&lt;=3,60,IF(D110&lt;=6,80,IF(D110&lt;=10,100,120)))</f>
        <v>120</v>
      </c>
      <c r="G111" s="58"/>
      <c r="H111" s="40"/>
      <c r="I111" s="69"/>
      <c r="L111" s="58"/>
      <c r="M111" s="58"/>
      <c r="N111" s="40"/>
      <c r="O111" s="69"/>
    </row>
    <row r="112" spans="1:23" x14ac:dyDescent="0.3">
      <c r="D112" s="34"/>
      <c r="G112" s="56"/>
      <c r="I112" s="56"/>
      <c r="L112" s="56"/>
      <c r="M112" s="56"/>
      <c r="O112" s="56"/>
    </row>
    <row r="113" spans="1:18" x14ac:dyDescent="0.3">
      <c r="B113" s="297" t="s">
        <v>30</v>
      </c>
      <c r="C113" s="297"/>
      <c r="D113" s="34">
        <v>229.13</v>
      </c>
      <c r="G113" s="297"/>
      <c r="H113" s="297"/>
      <c r="I113" s="56"/>
      <c r="L113" s="297"/>
      <c r="M113" s="297"/>
      <c r="N113" s="297"/>
      <c r="O113" s="56"/>
    </row>
    <row r="114" spans="1:18" x14ac:dyDescent="0.3">
      <c r="B114" s="36"/>
      <c r="C114" s="37" t="s">
        <v>31</v>
      </c>
      <c r="D114" s="42">
        <f>IF(D113&lt;0.5,20,IF(D113&lt;0.75,25,IF(D113&lt;1,30,IF(D113&lt;1.5,35,40))))</f>
        <v>40</v>
      </c>
      <c r="G114" s="58"/>
      <c r="H114" s="40"/>
      <c r="I114" s="70"/>
      <c r="L114" s="58"/>
      <c r="M114" s="58"/>
      <c r="N114" s="40"/>
      <c r="O114" s="70"/>
    </row>
    <row r="115" spans="1:18" x14ac:dyDescent="0.3">
      <c r="G115" s="56"/>
      <c r="L115" s="56"/>
      <c r="M115" s="56"/>
    </row>
    <row r="116" spans="1:18" ht="15" customHeight="1" x14ac:dyDescent="0.3">
      <c r="B116" s="297" t="s">
        <v>32</v>
      </c>
      <c r="C116" s="297"/>
      <c r="D116" s="34">
        <v>1</v>
      </c>
      <c r="G116" s="297"/>
      <c r="H116" s="297"/>
      <c r="I116" s="56"/>
      <c r="L116" s="297"/>
      <c r="M116" s="297"/>
      <c r="N116" s="297"/>
      <c r="O116" s="56"/>
    </row>
    <row r="117" spans="1:18" x14ac:dyDescent="0.3">
      <c r="B117" s="36"/>
      <c r="C117" s="37" t="s">
        <v>33</v>
      </c>
      <c r="D117" s="38">
        <f>IF(D116&gt;=11,40,IF(D116&gt;=6,30,20))</f>
        <v>20</v>
      </c>
      <c r="G117" s="58"/>
      <c r="H117" s="40"/>
      <c r="I117" s="69"/>
      <c r="L117" s="58"/>
      <c r="M117" s="58"/>
      <c r="N117" s="40"/>
      <c r="O117" s="69"/>
    </row>
    <row r="118" spans="1:18" x14ac:dyDescent="0.3">
      <c r="G118" s="56"/>
      <c r="L118" s="56"/>
      <c r="M118" s="56"/>
    </row>
    <row r="119" spans="1:18" ht="15" customHeight="1" x14ac:dyDescent="0.3">
      <c r="A119" s="298" t="s">
        <v>34</v>
      </c>
      <c r="B119" s="299"/>
      <c r="C119" s="299"/>
      <c r="D119" s="300"/>
      <c r="F119" s="301"/>
      <c r="G119" s="301"/>
      <c r="H119" s="301"/>
      <c r="I119" s="301"/>
      <c r="K119" s="301"/>
      <c r="L119" s="301"/>
      <c r="M119" s="301"/>
      <c r="N119" s="301"/>
      <c r="O119" s="301"/>
      <c r="Q119" s="309"/>
      <c r="R119" s="309"/>
    </row>
    <row r="120" spans="1:18" x14ac:dyDescent="0.3">
      <c r="A120" s="43" t="s">
        <v>23</v>
      </c>
      <c r="B120" s="43" t="s">
        <v>35</v>
      </c>
      <c r="C120" s="43" t="s">
        <v>36</v>
      </c>
      <c r="D120" s="43" t="s">
        <v>37</v>
      </c>
      <c r="F120" s="44"/>
      <c r="G120" s="44"/>
      <c r="H120" s="44"/>
      <c r="I120" s="44"/>
      <c r="K120" s="44"/>
      <c r="O120" s="44"/>
      <c r="R120" s="48"/>
    </row>
    <row r="121" spans="1:18" x14ac:dyDescent="0.3">
      <c r="A121" s="43">
        <v>1</v>
      </c>
      <c r="B121" s="46"/>
      <c r="C121" s="43"/>
      <c r="D121" s="43"/>
      <c r="F121" s="44"/>
      <c r="G121" s="71"/>
      <c r="H121" s="44"/>
      <c r="I121" s="44"/>
      <c r="K121" s="44"/>
      <c r="L121" s="49">
        <v>43481</v>
      </c>
      <c r="M121" s="49"/>
      <c r="N121" s="44">
        <f>$D$2-L121</f>
        <v>876</v>
      </c>
      <c r="O121" s="49">
        <v>43739</v>
      </c>
      <c r="P121" s="44">
        <f>$D$2-O121</f>
        <v>618</v>
      </c>
      <c r="R121" s="48"/>
    </row>
    <row r="122" spans="1:18" x14ac:dyDescent="0.3">
      <c r="A122" s="43">
        <v>2</v>
      </c>
      <c r="B122" s="46"/>
      <c r="C122" s="43"/>
      <c r="D122" s="43"/>
      <c r="F122" s="44"/>
      <c r="G122" s="72"/>
      <c r="H122" s="44"/>
      <c r="I122" s="44"/>
      <c r="K122" s="44"/>
      <c r="L122" s="49">
        <v>43293</v>
      </c>
      <c r="M122" s="49"/>
      <c r="N122" s="44">
        <f>$D$2-L122</f>
        <v>1064</v>
      </c>
      <c r="O122" s="49">
        <v>43628</v>
      </c>
      <c r="P122" s="44">
        <f>$D$2-O122</f>
        <v>729</v>
      </c>
      <c r="R122" s="48"/>
    </row>
    <row r="123" spans="1:18" x14ac:dyDescent="0.3">
      <c r="A123" s="43" t="s">
        <v>23</v>
      </c>
      <c r="B123" s="43" t="s">
        <v>38</v>
      </c>
      <c r="C123" s="43" t="s">
        <v>25</v>
      </c>
      <c r="D123" s="45" t="s">
        <v>39</v>
      </c>
      <c r="F123" s="44"/>
      <c r="G123" s="44"/>
      <c r="H123" s="44"/>
      <c r="K123" s="44"/>
      <c r="L123" s="44"/>
      <c r="M123" s="44"/>
      <c r="N123" s="44"/>
    </row>
    <row r="124" spans="1:18" x14ac:dyDescent="0.3">
      <c r="A124" s="43">
        <v>1</v>
      </c>
      <c r="B124" s="43"/>
      <c r="C124" s="63"/>
      <c r="D124" s="28"/>
      <c r="F124" s="44"/>
      <c r="G124" s="44"/>
      <c r="H124" s="73"/>
      <c r="I124" s="56"/>
      <c r="K124" s="44"/>
      <c r="L124" s="44"/>
      <c r="M124" s="44"/>
      <c r="N124" s="44"/>
    </row>
    <row r="125" spans="1:18" x14ac:dyDescent="0.3">
      <c r="A125" s="43">
        <v>2</v>
      </c>
      <c r="B125" s="43"/>
      <c r="C125" s="63"/>
      <c r="D125" s="28"/>
      <c r="F125" s="44"/>
      <c r="G125" s="44"/>
      <c r="H125" s="73"/>
      <c r="I125" s="56"/>
      <c r="K125" s="44"/>
      <c r="L125" s="44"/>
      <c r="M125" s="44"/>
      <c r="N125" s="44"/>
    </row>
    <row r="126" spans="1:18" x14ac:dyDescent="0.3">
      <c r="C126" s="37" t="s">
        <v>40</v>
      </c>
      <c r="D126" s="50">
        <f>+SUM(D124:D125)</f>
        <v>0</v>
      </c>
      <c r="G126" s="56"/>
      <c r="H126" s="40"/>
      <c r="I126" s="74"/>
      <c r="L126" s="56"/>
      <c r="M126" s="56"/>
      <c r="N126" s="40"/>
      <c r="O126" s="75"/>
    </row>
    <row r="127" spans="1:18" x14ac:dyDescent="0.3">
      <c r="C127" s="40"/>
      <c r="D127" s="51"/>
      <c r="G127" s="64"/>
      <c r="H127" s="40"/>
      <c r="I127" s="51"/>
      <c r="L127" s="64"/>
      <c r="M127" s="64"/>
      <c r="N127" s="40"/>
      <c r="O127" s="65"/>
    </row>
    <row r="128" spans="1:18" x14ac:dyDescent="0.3">
      <c r="C128" s="40"/>
      <c r="D128" s="51"/>
      <c r="G128" s="64"/>
      <c r="H128" s="40"/>
      <c r="I128" s="51"/>
      <c r="L128" s="64"/>
      <c r="M128" s="64"/>
      <c r="N128" s="40"/>
      <c r="O128" s="65"/>
    </row>
    <row r="129" spans="1:15" ht="15" customHeight="1" x14ac:dyDescent="0.3">
      <c r="A129" s="310" t="str">
        <f>'[1]Exp general'!A30&amp;" "&amp;'[1]Exp general'!B30</f>
        <v>5 HÉCTOR URIEL CASAS ZUÑIGA</v>
      </c>
      <c r="B129" s="311"/>
      <c r="C129" s="311"/>
      <c r="D129" s="311"/>
      <c r="E129" s="311"/>
      <c r="F129" s="311"/>
      <c r="G129" s="311"/>
      <c r="H129" s="311"/>
      <c r="I129" s="311"/>
      <c r="J129" s="311"/>
      <c r="K129" s="311"/>
      <c r="L129" s="311"/>
      <c r="M129" s="311"/>
      <c r="N129" s="311"/>
      <c r="O129" s="312"/>
    </row>
    <row r="131" spans="1:15" ht="15" customHeight="1" x14ac:dyDescent="0.3">
      <c r="A131" s="305" t="str">
        <f>+A129</f>
        <v>5 HÉCTOR URIEL CASAS ZUÑIGA</v>
      </c>
      <c r="B131" s="306"/>
      <c r="C131" s="306"/>
      <c r="D131" s="307"/>
      <c r="F131" s="31"/>
      <c r="G131" s="31"/>
      <c r="H131" s="31"/>
      <c r="I131" s="31"/>
      <c r="J131" s="31"/>
      <c r="K131" s="305">
        <f>+K129</f>
        <v>0</v>
      </c>
      <c r="L131" s="306"/>
      <c r="M131" s="306"/>
      <c r="N131" s="307"/>
      <c r="O131" s="26"/>
    </row>
    <row r="132" spans="1:15" ht="15" customHeight="1" x14ac:dyDescent="0.3">
      <c r="A132" s="305" t="s">
        <v>22</v>
      </c>
      <c r="B132" s="306"/>
      <c r="C132" s="307"/>
      <c r="D132" s="21">
        <v>1</v>
      </c>
      <c r="F132" s="31"/>
      <c r="G132" s="31"/>
      <c r="H132" s="31"/>
      <c r="I132" s="31"/>
      <c r="J132" s="31"/>
      <c r="K132" s="305" t="s">
        <v>22</v>
      </c>
      <c r="L132" s="306"/>
      <c r="M132" s="307"/>
      <c r="N132" s="21">
        <v>1</v>
      </c>
      <c r="O132" s="22"/>
    </row>
    <row r="133" spans="1:15" x14ac:dyDescent="0.3">
      <c r="A133" s="23" t="s">
        <v>23</v>
      </c>
      <c r="B133" s="23" t="s">
        <v>24</v>
      </c>
      <c r="C133" s="24" t="s">
        <v>25</v>
      </c>
      <c r="D133" s="24" t="s">
        <v>26</v>
      </c>
      <c r="F133" s="31"/>
      <c r="G133" s="31"/>
      <c r="H133" s="31"/>
      <c r="I133" s="31"/>
      <c r="J133" s="31"/>
      <c r="K133" s="23" t="s">
        <v>23</v>
      </c>
      <c r="L133" s="23" t="s">
        <v>24</v>
      </c>
      <c r="M133" s="24" t="s">
        <v>25</v>
      </c>
      <c r="N133" s="24" t="s">
        <v>26</v>
      </c>
      <c r="O133" s="26"/>
    </row>
    <row r="134" spans="1:15" x14ac:dyDescent="0.3">
      <c r="A134" s="54">
        <v>1</v>
      </c>
      <c r="B134" s="28">
        <f>32389323179/908526</f>
        <v>35650.408660841844</v>
      </c>
      <c r="C134" s="29">
        <v>1</v>
      </c>
      <c r="D134" s="28">
        <f t="shared" ref="D134" si="5">+ROUND(B134*C134,2)</f>
        <v>35650.410000000003</v>
      </c>
      <c r="F134" s="31"/>
      <c r="G134" s="31"/>
      <c r="H134" s="31"/>
      <c r="I134" s="31"/>
      <c r="J134" s="31"/>
      <c r="K134" s="54">
        <v>1</v>
      </c>
      <c r="L134" s="28">
        <f>32389323179/908526</f>
        <v>35650.408660841844</v>
      </c>
      <c r="M134" s="29">
        <v>1</v>
      </c>
      <c r="N134" s="28">
        <f t="shared" ref="N134" si="6">+ROUND(L134*M134,2)</f>
        <v>35650.410000000003</v>
      </c>
      <c r="O134" s="31"/>
    </row>
    <row r="135" spans="1:15" x14ac:dyDescent="0.3">
      <c r="C135" s="24" t="s">
        <v>27</v>
      </c>
      <c r="D135" s="35">
        <f>SUM(D134:D134)</f>
        <v>35650.410000000003</v>
      </c>
      <c r="F135" s="31"/>
      <c r="G135" s="31"/>
      <c r="H135" s="31"/>
      <c r="I135" s="31"/>
      <c r="J135" s="31"/>
      <c r="L135" s="34"/>
      <c r="M135" s="24" t="s">
        <v>27</v>
      </c>
      <c r="N135" s="35">
        <f>SUM(N134:N134)</f>
        <v>35650.410000000003</v>
      </c>
      <c r="O135" s="25"/>
    </row>
    <row r="136" spans="1:15" x14ac:dyDescent="0.3">
      <c r="G136" s="34"/>
      <c r="L136" s="34"/>
    </row>
    <row r="137" spans="1:15" ht="15" customHeight="1" x14ac:dyDescent="0.3">
      <c r="B137" s="297" t="s">
        <v>28</v>
      </c>
      <c r="C137" s="297"/>
      <c r="D137" s="34">
        <f>ROUND(D135/($D$1*D132),2)</f>
        <v>9.57</v>
      </c>
      <c r="G137" s="31"/>
      <c r="H137" s="31"/>
      <c r="I137" s="31"/>
      <c r="J137" s="31"/>
      <c r="L137" s="297" t="s">
        <v>28</v>
      </c>
      <c r="M137" s="297"/>
      <c r="N137" s="34">
        <f>ROUND(N135/($D$1*N132),2)</f>
        <v>9.57</v>
      </c>
      <c r="O137" s="31"/>
    </row>
    <row r="138" spans="1:15" x14ac:dyDescent="0.3">
      <c r="B138" s="36"/>
      <c r="C138" s="37" t="s">
        <v>29</v>
      </c>
      <c r="D138" s="38">
        <f>IF(D137&lt;=3,60,IF(D137&lt;=6,80,IF(D137&lt;=10,100,120)))</f>
        <v>100</v>
      </c>
      <c r="G138" s="31"/>
      <c r="H138" s="31"/>
      <c r="I138" s="31"/>
      <c r="J138" s="31"/>
      <c r="L138" s="36"/>
      <c r="M138" s="37" t="s">
        <v>29</v>
      </c>
      <c r="N138" s="38">
        <f>IF(N137&lt;=3,60,IF(N137&lt;=6,80,IF(N137&lt;=10,100,120)))</f>
        <v>100</v>
      </c>
      <c r="O138" s="41"/>
    </row>
    <row r="139" spans="1:15" x14ac:dyDescent="0.3">
      <c r="D139" s="34"/>
      <c r="G139" s="31"/>
      <c r="H139" s="31"/>
      <c r="I139" s="31"/>
      <c r="J139" s="31"/>
      <c r="L139" s="34"/>
      <c r="N139" s="34"/>
      <c r="O139" s="31"/>
    </row>
    <row r="140" spans="1:15" ht="15" customHeight="1" x14ac:dyDescent="0.3">
      <c r="B140" s="297" t="s">
        <v>30</v>
      </c>
      <c r="C140" s="297"/>
      <c r="D140" s="34">
        <v>154.55000000000001</v>
      </c>
      <c r="G140" s="31"/>
      <c r="H140" s="31"/>
      <c r="I140" s="31"/>
      <c r="J140" s="31"/>
      <c r="L140" s="297" t="s">
        <v>30</v>
      </c>
      <c r="M140" s="297"/>
      <c r="N140" s="34">
        <v>154.55000000000001</v>
      </c>
      <c r="O140" s="31"/>
    </row>
    <row r="141" spans="1:15" x14ac:dyDescent="0.3">
      <c r="B141" s="36"/>
      <c r="C141" s="37" t="s">
        <v>31</v>
      </c>
      <c r="D141" s="42">
        <f>IF(D140&lt;0.5,20,IF(D140&lt;0.75,25,IF(D140&lt;1,30,IF(D140&lt;1.5,35,40))))</f>
        <v>40</v>
      </c>
      <c r="G141" s="31"/>
      <c r="H141" s="31"/>
      <c r="I141" s="31"/>
      <c r="J141" s="31"/>
      <c r="L141" s="36"/>
      <c r="M141" s="37" t="s">
        <v>31</v>
      </c>
      <c r="N141" s="42">
        <f>IF(N140&lt;0.5,20,IF(N140&lt;0.75,25,IF(N140&lt;1,30,IF(N140&lt;1.5,35,40))))</f>
        <v>40</v>
      </c>
      <c r="O141" s="25"/>
    </row>
    <row r="142" spans="1:15" x14ac:dyDescent="0.3">
      <c r="G142" s="31"/>
      <c r="H142" s="31"/>
      <c r="I142" s="31"/>
      <c r="J142" s="31"/>
      <c r="L142" s="34"/>
    </row>
    <row r="143" spans="1:15" ht="15" customHeight="1" x14ac:dyDescent="0.3">
      <c r="B143" s="297" t="s">
        <v>32</v>
      </c>
      <c r="C143" s="297"/>
      <c r="D143" s="34">
        <v>2</v>
      </c>
      <c r="G143" s="31"/>
      <c r="H143" s="31"/>
      <c r="I143" s="31"/>
      <c r="J143" s="31"/>
      <c r="L143" s="297" t="s">
        <v>32</v>
      </c>
      <c r="M143" s="297"/>
      <c r="N143" s="34">
        <v>2</v>
      </c>
      <c r="O143" s="31"/>
    </row>
    <row r="144" spans="1:15" x14ac:dyDescent="0.3">
      <c r="B144" s="36"/>
      <c r="C144" s="37" t="s">
        <v>33</v>
      </c>
      <c r="D144" s="38">
        <f>IF(D143&gt;=11,40,IF(D143&gt;=6,30,20))</f>
        <v>20</v>
      </c>
      <c r="G144" s="31"/>
      <c r="H144" s="31"/>
      <c r="I144" s="31"/>
      <c r="J144" s="31"/>
      <c r="L144" s="36"/>
      <c r="M144" s="37" t="s">
        <v>33</v>
      </c>
      <c r="N144" s="38">
        <f>IF(N143&gt;=11,40,IF(N143&gt;=6,30,20))</f>
        <v>20</v>
      </c>
      <c r="O144" s="41"/>
    </row>
    <row r="145" spans="1:23" x14ac:dyDescent="0.3">
      <c r="G145" s="34"/>
      <c r="L145" s="34"/>
    </row>
    <row r="146" spans="1:23" ht="15" customHeight="1" x14ac:dyDescent="0.3">
      <c r="A146" s="298" t="s">
        <v>34</v>
      </c>
      <c r="B146" s="299"/>
      <c r="C146" s="299"/>
      <c r="D146" s="300"/>
      <c r="F146" s="31"/>
      <c r="G146" s="31"/>
      <c r="H146" s="31"/>
      <c r="I146" s="31"/>
      <c r="J146" s="31"/>
      <c r="K146" s="298" t="s">
        <v>34</v>
      </c>
      <c r="L146" s="299"/>
      <c r="M146" s="299"/>
      <c r="N146" s="300"/>
      <c r="O146" s="31"/>
      <c r="P146" s="31"/>
      <c r="Q146" s="31"/>
      <c r="R146" s="31"/>
      <c r="S146" s="31"/>
      <c r="T146" s="298" t="s">
        <v>34</v>
      </c>
      <c r="U146" s="299"/>
      <c r="V146" s="299"/>
      <c r="W146" s="300"/>
    </row>
    <row r="147" spans="1:23" ht="28.8" x14ac:dyDescent="0.3">
      <c r="A147" s="43" t="s">
        <v>23</v>
      </c>
      <c r="B147" s="43" t="s">
        <v>35</v>
      </c>
      <c r="C147" s="43" t="s">
        <v>36</v>
      </c>
      <c r="D147" s="43" t="s">
        <v>37</v>
      </c>
      <c r="F147" s="31"/>
      <c r="G147" s="31"/>
      <c r="H147" s="31"/>
      <c r="I147" s="31"/>
      <c r="J147" s="31"/>
      <c r="K147" s="43" t="s">
        <v>23</v>
      </c>
      <c r="L147" s="43" t="s">
        <v>35</v>
      </c>
      <c r="M147" s="43" t="s">
        <v>36</v>
      </c>
      <c r="N147" s="43" t="s">
        <v>37</v>
      </c>
      <c r="O147" s="31"/>
      <c r="P147" s="31"/>
      <c r="Q147" s="31"/>
      <c r="R147" s="31"/>
      <c r="S147" s="31"/>
      <c r="T147" s="43" t="s">
        <v>23</v>
      </c>
      <c r="U147" s="43" t="s">
        <v>35</v>
      </c>
      <c r="V147" s="43" t="s">
        <v>36</v>
      </c>
      <c r="W147" s="43" t="s">
        <v>37</v>
      </c>
    </row>
    <row r="148" spans="1:23" x14ac:dyDescent="0.3">
      <c r="A148" s="43">
        <v>1</v>
      </c>
      <c r="B148" s="46">
        <v>21901304</v>
      </c>
      <c r="C148" s="43">
        <v>4</v>
      </c>
      <c r="D148" s="66">
        <v>0</v>
      </c>
      <c r="F148" s="31"/>
      <c r="G148" s="48"/>
      <c r="H148" s="48"/>
      <c r="I148" s="31"/>
      <c r="J148" s="31"/>
      <c r="K148" s="43">
        <v>1</v>
      </c>
      <c r="L148" s="46">
        <v>525631294</v>
      </c>
      <c r="M148" s="43">
        <v>4</v>
      </c>
      <c r="N148" s="66">
        <v>0</v>
      </c>
      <c r="O148" s="31"/>
      <c r="P148" s="31"/>
      <c r="Q148" s="31"/>
      <c r="R148" s="31"/>
      <c r="S148" s="31"/>
      <c r="T148" s="43">
        <v>1</v>
      </c>
      <c r="U148" s="46">
        <v>525631294</v>
      </c>
      <c r="V148" s="43">
        <v>4</v>
      </c>
      <c r="W148" s="66">
        <v>115</v>
      </c>
    </row>
    <row r="149" spans="1:23" x14ac:dyDescent="0.3">
      <c r="A149" s="43">
        <v>2</v>
      </c>
      <c r="B149" s="46">
        <v>408268855</v>
      </c>
      <c r="C149" s="43">
        <v>5</v>
      </c>
      <c r="D149" s="66">
        <f t="shared" ref="D149" si="7">+I149</f>
        <v>0</v>
      </c>
      <c r="F149" s="31"/>
      <c r="G149" s="48"/>
      <c r="H149" s="48"/>
      <c r="I149" s="31"/>
      <c r="J149" s="31"/>
      <c r="K149" s="43">
        <v>2</v>
      </c>
      <c r="L149" s="46">
        <v>2783651285</v>
      </c>
      <c r="M149" s="43">
        <v>5</v>
      </c>
      <c r="N149" s="66">
        <v>0</v>
      </c>
      <c r="O149" s="31"/>
      <c r="P149" s="31"/>
      <c r="Q149" s="31"/>
      <c r="R149" s="31"/>
      <c r="S149" s="31"/>
      <c r="T149" s="43">
        <v>2</v>
      </c>
      <c r="U149" s="46">
        <v>2783651285</v>
      </c>
      <c r="V149" s="43">
        <v>5</v>
      </c>
      <c r="W149" s="66">
        <v>106</v>
      </c>
    </row>
    <row r="150" spans="1:23" x14ac:dyDescent="0.3">
      <c r="A150" s="43">
        <v>3</v>
      </c>
      <c r="B150" s="46">
        <v>1237647088</v>
      </c>
      <c r="C150" s="43">
        <v>4</v>
      </c>
      <c r="D150" s="66">
        <v>120</v>
      </c>
      <c r="F150" s="31"/>
      <c r="G150" s="48"/>
      <c r="H150" s="48"/>
      <c r="I150" s="31"/>
      <c r="J150" s="31"/>
      <c r="K150" s="43">
        <v>3</v>
      </c>
      <c r="L150" s="46">
        <v>1237647088</v>
      </c>
      <c r="M150" s="43">
        <v>4</v>
      </c>
      <c r="N150" s="66">
        <v>120</v>
      </c>
      <c r="O150" s="31"/>
      <c r="P150" s="31"/>
      <c r="Q150" s="31"/>
      <c r="R150" s="31"/>
      <c r="S150" s="31"/>
      <c r="T150" s="43">
        <v>3</v>
      </c>
      <c r="U150" s="46">
        <v>1237647088</v>
      </c>
      <c r="V150" s="43">
        <v>4</v>
      </c>
      <c r="W150" s="66">
        <v>89</v>
      </c>
    </row>
    <row r="151" spans="1:23" x14ac:dyDescent="0.3">
      <c r="A151" s="43">
        <v>4</v>
      </c>
      <c r="B151" s="46">
        <v>41264539</v>
      </c>
      <c r="C151" s="43">
        <v>6</v>
      </c>
      <c r="D151" s="66">
        <f t="shared" ref="D151" si="8">+I151</f>
        <v>0</v>
      </c>
      <c r="F151" s="31"/>
      <c r="G151" s="48"/>
      <c r="H151" s="48"/>
      <c r="I151" s="31"/>
      <c r="J151" s="31"/>
      <c r="K151" s="43">
        <v>4</v>
      </c>
      <c r="L151" s="46">
        <v>1237936169</v>
      </c>
      <c r="M151" s="43">
        <v>4</v>
      </c>
      <c r="N151" s="66">
        <v>0</v>
      </c>
      <c r="O151" s="31"/>
      <c r="P151" s="31"/>
      <c r="Q151" s="31"/>
      <c r="R151" s="31"/>
      <c r="S151" s="31"/>
      <c r="T151" s="43">
        <v>4</v>
      </c>
      <c r="U151" s="46">
        <v>1237936169</v>
      </c>
      <c r="V151" s="43">
        <v>4</v>
      </c>
      <c r="W151" s="66">
        <v>116</v>
      </c>
    </row>
    <row r="152" spans="1:23" x14ac:dyDescent="0.3">
      <c r="A152" s="43">
        <v>5</v>
      </c>
      <c r="B152" s="46">
        <v>1561041430</v>
      </c>
      <c r="C152" s="43">
        <v>6</v>
      </c>
      <c r="D152" s="66">
        <v>0</v>
      </c>
      <c r="F152" s="31"/>
      <c r="J152" s="31"/>
      <c r="K152" s="43">
        <v>5</v>
      </c>
      <c r="L152" s="46">
        <v>1911479302</v>
      </c>
      <c r="M152" s="43">
        <v>6</v>
      </c>
      <c r="N152" s="66">
        <v>0</v>
      </c>
      <c r="O152" s="31"/>
      <c r="P152" s="31"/>
      <c r="Q152" s="31"/>
      <c r="R152" s="31"/>
      <c r="S152" s="31"/>
      <c r="T152" s="43">
        <v>5</v>
      </c>
      <c r="U152" s="46">
        <v>1911479302</v>
      </c>
      <c r="V152" s="43">
        <v>6</v>
      </c>
      <c r="W152" s="66">
        <v>33</v>
      </c>
    </row>
    <row r="153" spans="1:23" x14ac:dyDescent="0.3">
      <c r="A153" s="43">
        <v>6</v>
      </c>
      <c r="B153" s="46">
        <v>1314611776</v>
      </c>
      <c r="C153" s="43">
        <v>6</v>
      </c>
      <c r="D153" s="66">
        <v>180</v>
      </c>
      <c r="F153" s="31"/>
      <c r="G153" s="48"/>
      <c r="H153" s="48"/>
      <c r="I153" s="31"/>
      <c r="J153" s="31"/>
      <c r="K153" s="43">
        <v>6</v>
      </c>
      <c r="L153" s="46">
        <v>1314611776</v>
      </c>
      <c r="M153" s="43">
        <v>6</v>
      </c>
      <c r="N153" s="66">
        <v>180</v>
      </c>
      <c r="O153" s="31"/>
      <c r="P153" s="31"/>
      <c r="Q153" s="31"/>
      <c r="R153" s="31"/>
      <c r="S153" s="31"/>
      <c r="T153" s="43">
        <v>6</v>
      </c>
      <c r="U153" s="46">
        <v>1314611776</v>
      </c>
      <c r="V153" s="43">
        <v>6</v>
      </c>
      <c r="W153" s="66">
        <v>168</v>
      </c>
    </row>
    <row r="154" spans="1:23" x14ac:dyDescent="0.3">
      <c r="A154" s="43">
        <v>7</v>
      </c>
      <c r="B154" s="46">
        <v>1072998854</v>
      </c>
      <c r="C154" s="43">
        <v>6</v>
      </c>
      <c r="D154" s="66">
        <f>+I154</f>
        <v>120</v>
      </c>
      <c r="F154" s="31"/>
      <c r="G154" s="49">
        <v>44105</v>
      </c>
      <c r="H154" s="49">
        <v>44225</v>
      </c>
      <c r="I154" s="76">
        <f>+H154-G154</f>
        <v>120</v>
      </c>
      <c r="J154" s="31"/>
      <c r="K154" s="43">
        <v>7</v>
      </c>
      <c r="L154" s="46">
        <v>1072998854</v>
      </c>
      <c r="M154" s="43">
        <v>6</v>
      </c>
      <c r="N154" s="66">
        <v>120</v>
      </c>
      <c r="O154" s="31"/>
      <c r="P154" s="31"/>
      <c r="Q154" s="31"/>
      <c r="R154" s="31"/>
      <c r="S154" s="31"/>
      <c r="T154" s="43">
        <v>7</v>
      </c>
      <c r="U154" s="46">
        <v>1072998854</v>
      </c>
      <c r="V154" s="43">
        <v>6</v>
      </c>
      <c r="W154" s="66">
        <v>120</v>
      </c>
    </row>
    <row r="155" spans="1:23" x14ac:dyDescent="0.3">
      <c r="A155" s="43">
        <v>8</v>
      </c>
      <c r="B155" s="46">
        <v>3413047276</v>
      </c>
      <c r="C155" s="43">
        <v>5</v>
      </c>
      <c r="D155" s="66">
        <v>150</v>
      </c>
      <c r="F155" s="31"/>
      <c r="G155" s="48"/>
      <c r="H155" s="48"/>
      <c r="I155" s="31"/>
      <c r="J155" s="31"/>
      <c r="K155" s="43">
        <v>8</v>
      </c>
      <c r="L155" s="46">
        <v>3413047276</v>
      </c>
      <c r="M155" s="43">
        <v>5</v>
      </c>
      <c r="N155" s="66">
        <v>150</v>
      </c>
      <c r="O155" s="31"/>
      <c r="P155" s="31"/>
      <c r="Q155" s="31"/>
      <c r="R155" s="31"/>
      <c r="S155" s="31"/>
      <c r="T155" s="43">
        <v>8</v>
      </c>
      <c r="U155" s="46">
        <v>3413047276</v>
      </c>
      <c r="V155" s="43">
        <v>5</v>
      </c>
      <c r="W155" s="66">
        <v>133</v>
      </c>
    </row>
    <row r="156" spans="1:23" x14ac:dyDescent="0.3">
      <c r="A156" s="43">
        <v>9</v>
      </c>
      <c r="B156" s="46"/>
      <c r="C156" s="43"/>
      <c r="D156" s="66"/>
      <c r="F156" s="31"/>
      <c r="G156" s="31"/>
      <c r="H156" s="31"/>
      <c r="I156" s="31"/>
      <c r="J156" s="31"/>
      <c r="K156" s="43"/>
      <c r="L156" s="46"/>
      <c r="M156" s="43"/>
      <c r="N156" s="66"/>
      <c r="O156" s="31"/>
      <c r="P156" s="31"/>
      <c r="T156" s="43"/>
      <c r="U156" s="46"/>
      <c r="V156" s="43"/>
      <c r="W156" s="66"/>
    </row>
    <row r="157" spans="1:23" x14ac:dyDescent="0.3">
      <c r="A157" s="43">
        <v>10</v>
      </c>
      <c r="B157" s="46"/>
      <c r="C157" s="43"/>
      <c r="D157" s="66"/>
      <c r="F157" s="31"/>
      <c r="G157" s="31"/>
      <c r="H157" s="31"/>
      <c r="I157" s="31"/>
      <c r="J157" s="31"/>
      <c r="K157" s="43"/>
      <c r="L157" s="46"/>
      <c r="M157" s="43"/>
      <c r="N157" s="66"/>
      <c r="O157" s="31"/>
      <c r="P157" s="31"/>
      <c r="T157" s="43"/>
      <c r="U157" s="46"/>
      <c r="V157" s="43"/>
      <c r="W157" s="66"/>
    </row>
    <row r="158" spans="1:23" ht="43.2" x14ac:dyDescent="0.3">
      <c r="A158" s="43" t="s">
        <v>23</v>
      </c>
      <c r="B158" s="43" t="s">
        <v>38</v>
      </c>
      <c r="C158" s="43" t="s">
        <v>25</v>
      </c>
      <c r="D158" s="43" t="s">
        <v>39</v>
      </c>
      <c r="F158" s="31"/>
      <c r="G158" s="31"/>
      <c r="H158" s="31"/>
      <c r="I158" s="31"/>
      <c r="J158" s="31"/>
      <c r="K158" s="43" t="s">
        <v>23</v>
      </c>
      <c r="L158" s="43" t="s">
        <v>38</v>
      </c>
      <c r="M158" s="43" t="s">
        <v>25</v>
      </c>
      <c r="N158" s="45" t="s">
        <v>39</v>
      </c>
      <c r="O158" s="31"/>
      <c r="P158" s="31"/>
      <c r="Q158" s="31"/>
      <c r="R158" s="31"/>
      <c r="S158" s="31"/>
      <c r="T158" s="43" t="s">
        <v>23</v>
      </c>
      <c r="U158" s="43" t="s">
        <v>38</v>
      </c>
      <c r="V158" s="43" t="s">
        <v>25</v>
      </c>
      <c r="W158" s="45" t="s">
        <v>39</v>
      </c>
    </row>
    <row r="159" spans="1:23" x14ac:dyDescent="0.3">
      <c r="A159" s="43">
        <v>1</v>
      </c>
      <c r="B159" s="62">
        <f>C148*30-D148</f>
        <v>120</v>
      </c>
      <c r="C159" s="63">
        <v>1</v>
      </c>
      <c r="D159" s="28">
        <f t="shared" ref="D159:D166" si="9">+ROUND((B148*B159*C159)/(C148*30),0)</f>
        <v>21901304</v>
      </c>
      <c r="F159" s="31"/>
      <c r="G159" s="31"/>
      <c r="H159" s="31"/>
      <c r="I159" s="31"/>
      <c r="J159" s="31"/>
      <c r="K159" s="43">
        <v>1</v>
      </c>
      <c r="L159" s="62">
        <f t="shared" ref="L159:L166" si="10">M148*30-N148</f>
        <v>120</v>
      </c>
      <c r="M159" s="63">
        <v>1</v>
      </c>
      <c r="N159" s="28">
        <f t="shared" ref="N159:N166" si="11">+ROUND((L148*L159*M159)/(M148*30),0)</f>
        <v>525631294</v>
      </c>
      <c r="O159" s="31"/>
      <c r="P159" s="31"/>
      <c r="Q159" s="31"/>
      <c r="R159" s="31"/>
      <c r="S159" s="31"/>
      <c r="T159" s="43">
        <v>1</v>
      </c>
      <c r="U159" s="62">
        <f t="shared" ref="U159:U166" si="12">V148*30-W148</f>
        <v>5</v>
      </c>
      <c r="V159" s="63">
        <v>1</v>
      </c>
      <c r="W159" s="28">
        <f t="shared" ref="W159:W166" si="13">+ROUND((U148*U159*V159)/(V148*30),0)</f>
        <v>21901304</v>
      </c>
    </row>
    <row r="160" spans="1:23" x14ac:dyDescent="0.3">
      <c r="A160" s="43">
        <v>2</v>
      </c>
      <c r="B160" s="62">
        <v>150</v>
      </c>
      <c r="C160" s="63">
        <v>0.5</v>
      </c>
      <c r="D160" s="28">
        <f t="shared" si="9"/>
        <v>204134428</v>
      </c>
      <c r="F160" s="31"/>
      <c r="G160" s="31"/>
      <c r="H160" s="31"/>
      <c r="I160" s="31"/>
      <c r="J160" s="31"/>
      <c r="K160" s="43">
        <v>2</v>
      </c>
      <c r="L160" s="62">
        <f t="shared" si="10"/>
        <v>150</v>
      </c>
      <c r="M160" s="63">
        <v>0.5</v>
      </c>
      <c r="N160" s="28">
        <f t="shared" si="11"/>
        <v>1391825643</v>
      </c>
      <c r="O160" s="31"/>
      <c r="P160" s="31"/>
      <c r="Q160" s="31"/>
      <c r="R160" s="31"/>
      <c r="S160" s="31"/>
      <c r="T160" s="43">
        <v>2</v>
      </c>
      <c r="U160" s="62">
        <f t="shared" si="12"/>
        <v>44</v>
      </c>
      <c r="V160" s="63">
        <v>0.5</v>
      </c>
      <c r="W160" s="28">
        <f t="shared" si="13"/>
        <v>408268855</v>
      </c>
    </row>
    <row r="161" spans="1:23" x14ac:dyDescent="0.3">
      <c r="A161" s="43">
        <v>3</v>
      </c>
      <c r="B161" s="62">
        <f t="shared" ref="B161:B166" si="14">C150*30-D150</f>
        <v>0</v>
      </c>
      <c r="C161" s="63">
        <v>1</v>
      </c>
      <c r="D161" s="28">
        <f t="shared" si="9"/>
        <v>0</v>
      </c>
      <c r="F161" s="31"/>
      <c r="G161" s="31"/>
      <c r="H161" s="31"/>
      <c r="I161" s="31"/>
      <c r="J161" s="31"/>
      <c r="K161" s="43">
        <v>3</v>
      </c>
      <c r="L161" s="62">
        <f t="shared" si="10"/>
        <v>0</v>
      </c>
      <c r="M161" s="63">
        <v>1</v>
      </c>
      <c r="N161" s="28">
        <f t="shared" si="11"/>
        <v>0</v>
      </c>
      <c r="O161" s="31"/>
      <c r="P161" s="31"/>
      <c r="Q161" s="31"/>
      <c r="R161" s="31"/>
      <c r="S161" s="31"/>
      <c r="T161" s="43">
        <v>3</v>
      </c>
      <c r="U161" s="62">
        <f t="shared" si="12"/>
        <v>31</v>
      </c>
      <c r="V161" s="63">
        <v>1</v>
      </c>
      <c r="W161" s="28">
        <f t="shared" si="13"/>
        <v>319725498</v>
      </c>
    </row>
    <row r="162" spans="1:23" x14ac:dyDescent="0.3">
      <c r="A162" s="43">
        <v>4</v>
      </c>
      <c r="B162" s="62">
        <f t="shared" si="14"/>
        <v>180</v>
      </c>
      <c r="C162" s="63">
        <v>1</v>
      </c>
      <c r="D162" s="28">
        <f t="shared" si="9"/>
        <v>41264539</v>
      </c>
      <c r="F162" s="31"/>
      <c r="G162" s="31"/>
      <c r="H162" s="31"/>
      <c r="I162" s="31"/>
      <c r="J162" s="31"/>
      <c r="K162" s="43">
        <v>4</v>
      </c>
      <c r="L162" s="62">
        <f t="shared" si="10"/>
        <v>120</v>
      </c>
      <c r="M162" s="63">
        <v>1</v>
      </c>
      <c r="N162" s="28">
        <f t="shared" si="11"/>
        <v>1237936169</v>
      </c>
      <c r="O162" s="31"/>
      <c r="P162" s="31"/>
      <c r="Q162" s="31"/>
      <c r="R162" s="31"/>
      <c r="S162" s="31"/>
      <c r="T162" s="43">
        <v>4</v>
      </c>
      <c r="U162" s="62">
        <f t="shared" si="12"/>
        <v>4</v>
      </c>
      <c r="V162" s="63">
        <v>1</v>
      </c>
      <c r="W162" s="28">
        <f t="shared" si="13"/>
        <v>41264539</v>
      </c>
    </row>
    <row r="163" spans="1:23" x14ac:dyDescent="0.3">
      <c r="A163" s="43">
        <v>5</v>
      </c>
      <c r="B163" s="62">
        <f t="shared" si="14"/>
        <v>180</v>
      </c>
      <c r="C163" s="63">
        <v>1</v>
      </c>
      <c r="D163" s="28">
        <f t="shared" si="9"/>
        <v>1561041430</v>
      </c>
      <c r="F163" s="31"/>
      <c r="G163" s="31"/>
      <c r="H163" s="31"/>
      <c r="I163" s="31"/>
      <c r="J163" s="31"/>
      <c r="K163" s="43">
        <v>5</v>
      </c>
      <c r="L163" s="62">
        <f t="shared" si="10"/>
        <v>180</v>
      </c>
      <c r="M163" s="63">
        <v>1</v>
      </c>
      <c r="N163" s="28">
        <f t="shared" si="11"/>
        <v>1911479302</v>
      </c>
      <c r="O163" s="31"/>
      <c r="P163" s="31"/>
      <c r="Q163" s="31"/>
      <c r="R163" s="31"/>
      <c r="S163" s="31"/>
      <c r="T163" s="43">
        <v>5</v>
      </c>
      <c r="U163" s="62">
        <f t="shared" si="12"/>
        <v>147</v>
      </c>
      <c r="V163" s="63">
        <v>1</v>
      </c>
      <c r="W163" s="28">
        <f t="shared" si="13"/>
        <v>1561041430</v>
      </c>
    </row>
    <row r="164" spans="1:23" x14ac:dyDescent="0.3">
      <c r="A164" s="43">
        <v>6</v>
      </c>
      <c r="B164" s="62">
        <f t="shared" si="14"/>
        <v>0</v>
      </c>
      <c r="C164" s="63">
        <v>1</v>
      </c>
      <c r="D164" s="28">
        <f t="shared" si="9"/>
        <v>0</v>
      </c>
      <c r="F164" s="31"/>
      <c r="G164" s="31"/>
      <c r="H164" s="31"/>
      <c r="I164" s="31"/>
      <c r="J164" s="31"/>
      <c r="K164" s="43">
        <v>6</v>
      </c>
      <c r="L164" s="62">
        <f t="shared" si="10"/>
        <v>0</v>
      </c>
      <c r="M164" s="63">
        <v>1</v>
      </c>
      <c r="N164" s="28">
        <f t="shared" si="11"/>
        <v>0</v>
      </c>
      <c r="O164" s="31"/>
      <c r="P164" s="31"/>
      <c r="Q164" s="31"/>
      <c r="R164" s="31"/>
      <c r="S164" s="31"/>
      <c r="T164" s="43">
        <v>6</v>
      </c>
      <c r="U164" s="62">
        <f t="shared" si="12"/>
        <v>12</v>
      </c>
      <c r="V164" s="63">
        <v>1</v>
      </c>
      <c r="W164" s="28">
        <f t="shared" si="13"/>
        <v>87640785</v>
      </c>
    </row>
    <row r="165" spans="1:23" x14ac:dyDescent="0.3">
      <c r="A165" s="43">
        <v>7</v>
      </c>
      <c r="B165" s="62">
        <f t="shared" si="14"/>
        <v>60</v>
      </c>
      <c r="C165" s="63">
        <v>1</v>
      </c>
      <c r="D165" s="28">
        <f t="shared" si="9"/>
        <v>357666285</v>
      </c>
      <c r="F165" s="31"/>
      <c r="G165" s="31"/>
      <c r="H165" s="31"/>
      <c r="I165" s="31"/>
      <c r="J165" s="31"/>
      <c r="K165" s="43">
        <v>7</v>
      </c>
      <c r="L165" s="62">
        <f t="shared" si="10"/>
        <v>60</v>
      </c>
      <c r="M165" s="63">
        <v>1</v>
      </c>
      <c r="N165" s="28">
        <f t="shared" si="11"/>
        <v>357666285</v>
      </c>
      <c r="O165" s="31"/>
      <c r="P165" s="31"/>
      <c r="Q165" s="31"/>
      <c r="R165" s="31"/>
      <c r="S165" s="31"/>
      <c r="T165" s="43">
        <v>7</v>
      </c>
      <c r="U165" s="62">
        <f t="shared" si="12"/>
        <v>60</v>
      </c>
      <c r="V165" s="63">
        <v>1</v>
      </c>
      <c r="W165" s="28">
        <f t="shared" si="13"/>
        <v>357666285</v>
      </c>
    </row>
    <row r="166" spans="1:23" x14ac:dyDescent="0.3">
      <c r="A166" s="43">
        <v>8</v>
      </c>
      <c r="B166" s="62">
        <f t="shared" si="14"/>
        <v>0</v>
      </c>
      <c r="C166" s="63">
        <v>0.5</v>
      </c>
      <c r="D166" s="28">
        <f t="shared" si="9"/>
        <v>0</v>
      </c>
      <c r="G166" s="34"/>
      <c r="H166" s="40"/>
      <c r="I166" s="51"/>
      <c r="K166" s="43">
        <v>8</v>
      </c>
      <c r="L166" s="62">
        <f t="shared" si="10"/>
        <v>0</v>
      </c>
      <c r="M166" s="63">
        <v>0.5</v>
      </c>
      <c r="N166" s="28">
        <f t="shared" si="11"/>
        <v>0</v>
      </c>
      <c r="O166" s="65"/>
      <c r="T166" s="43">
        <v>8</v>
      </c>
      <c r="U166" s="62">
        <f t="shared" si="12"/>
        <v>17</v>
      </c>
      <c r="V166" s="63">
        <v>0.5</v>
      </c>
      <c r="W166" s="28">
        <f t="shared" si="13"/>
        <v>193406012</v>
      </c>
    </row>
    <row r="167" spans="1:23" x14ac:dyDescent="0.3">
      <c r="A167" s="43">
        <v>9</v>
      </c>
      <c r="B167" s="62"/>
      <c r="C167" s="63"/>
      <c r="D167" s="28"/>
      <c r="G167" s="34"/>
      <c r="H167" s="40"/>
      <c r="I167" s="51"/>
      <c r="K167" s="43"/>
      <c r="L167" s="62"/>
      <c r="M167" s="63"/>
      <c r="N167" s="28"/>
      <c r="O167" s="65"/>
      <c r="T167" s="43"/>
      <c r="U167" s="62"/>
      <c r="V167" s="63"/>
      <c r="W167" s="28"/>
    </row>
    <row r="168" spans="1:23" x14ac:dyDescent="0.3">
      <c r="A168" s="43">
        <v>10</v>
      </c>
      <c r="B168" s="62"/>
      <c r="C168" s="63"/>
      <c r="D168" s="28"/>
      <c r="G168" s="64"/>
      <c r="H168" s="40"/>
      <c r="I168" s="51"/>
      <c r="K168" s="43"/>
      <c r="L168" s="62"/>
      <c r="M168" s="63"/>
      <c r="N168" s="28"/>
      <c r="O168" s="65"/>
      <c r="T168" s="43"/>
      <c r="U168" s="62"/>
      <c r="V168" s="63"/>
      <c r="W168" s="28"/>
    </row>
    <row r="169" spans="1:23" x14ac:dyDescent="0.3">
      <c r="C169" s="37" t="s">
        <v>40</v>
      </c>
      <c r="D169" s="50">
        <f>+SUM(D159:D166)</f>
        <v>2186007986</v>
      </c>
      <c r="G169" s="64"/>
      <c r="H169" s="40"/>
      <c r="I169" s="51"/>
      <c r="L169" s="64"/>
      <c r="M169" s="37" t="s">
        <v>40</v>
      </c>
      <c r="N169" s="50">
        <f>+SUM(N159:N168)</f>
        <v>5424538693</v>
      </c>
      <c r="O169" s="65"/>
      <c r="T169" s="19"/>
      <c r="U169" s="64"/>
      <c r="V169" s="37" t="s">
        <v>40</v>
      </c>
      <c r="W169" s="50">
        <f>+SUM(W159:W168)</f>
        <v>2990914708</v>
      </c>
    </row>
    <row r="170" spans="1:23" x14ac:dyDescent="0.3">
      <c r="G170" s="34"/>
    </row>
    <row r="173" spans="1:23" x14ac:dyDescent="0.3">
      <c r="K173" s="43">
        <v>9</v>
      </c>
      <c r="L173" s="46">
        <v>876902815</v>
      </c>
      <c r="M173" s="43">
        <v>4</v>
      </c>
      <c r="N173" s="66">
        <v>50</v>
      </c>
    </row>
    <row r="174" spans="1:23" x14ac:dyDescent="0.3">
      <c r="K174" s="43">
        <v>10</v>
      </c>
      <c r="L174" s="46">
        <v>476974758</v>
      </c>
      <c r="M174" s="43">
        <v>5</v>
      </c>
      <c r="N174" s="66">
        <v>50</v>
      </c>
    </row>
    <row r="341" spans="1:15" x14ac:dyDescent="0.3">
      <c r="A341" s="302">
        <v>15</v>
      </c>
      <c r="B341" s="303"/>
      <c r="C341" s="303"/>
      <c r="D341" s="303"/>
      <c r="E341" s="303"/>
      <c r="F341" s="303"/>
      <c r="G341" s="303"/>
      <c r="H341" s="303"/>
      <c r="I341" s="303"/>
      <c r="J341" s="303"/>
      <c r="K341" s="303"/>
      <c r="L341" s="303"/>
      <c r="M341" s="303"/>
      <c r="N341" s="303"/>
      <c r="O341" s="304"/>
    </row>
    <row r="343" spans="1:15" x14ac:dyDescent="0.3">
      <c r="A343" s="305" t="e">
        <f>'[1]Cap organizacional'!#REF!</f>
        <v>#REF!</v>
      </c>
      <c r="B343" s="306"/>
      <c r="C343" s="306"/>
      <c r="D343" s="307"/>
      <c r="F343" s="308"/>
      <c r="G343" s="308"/>
      <c r="H343" s="308"/>
      <c r="I343" s="308"/>
      <c r="K343" s="308"/>
      <c r="L343" s="308"/>
      <c r="M343" s="308"/>
      <c r="N343" s="308"/>
      <c r="O343" s="308"/>
    </row>
    <row r="344" spans="1:15" ht="15" customHeight="1" x14ac:dyDescent="0.3">
      <c r="A344" s="305" t="s">
        <v>22</v>
      </c>
      <c r="B344" s="306"/>
      <c r="C344" s="307"/>
      <c r="D344" s="21" t="e">
        <f>'[1]Cap organizacional'!#REF!</f>
        <v>#REF!</v>
      </c>
      <c r="F344" s="308"/>
      <c r="G344" s="308"/>
      <c r="H344" s="308"/>
      <c r="I344" s="22"/>
      <c r="K344" s="308"/>
      <c r="L344" s="308"/>
      <c r="M344" s="308"/>
      <c r="N344" s="308"/>
      <c r="O344" s="22"/>
    </row>
    <row r="345" spans="1:15" x14ac:dyDescent="0.3">
      <c r="A345" s="23" t="s">
        <v>23</v>
      </c>
      <c r="B345" s="23" t="s">
        <v>24</v>
      </c>
      <c r="C345" s="24" t="s">
        <v>25</v>
      </c>
      <c r="D345" s="24" t="s">
        <v>26</v>
      </c>
      <c r="F345" s="25"/>
      <c r="G345" s="25"/>
      <c r="H345" s="26"/>
      <c r="I345" s="26"/>
      <c r="K345" s="25"/>
      <c r="L345" s="25"/>
      <c r="M345" s="25"/>
      <c r="N345" s="26"/>
      <c r="O345" s="26"/>
    </row>
    <row r="346" spans="1:15" x14ac:dyDescent="0.3">
      <c r="A346" s="27">
        <v>6</v>
      </c>
      <c r="B346" s="28">
        <v>248.08</v>
      </c>
      <c r="C346" s="29">
        <v>1</v>
      </c>
      <c r="D346" s="28">
        <f t="shared" ref="D346:D367" si="15">+ROUND(B346*C346,2)</f>
        <v>248.08</v>
      </c>
      <c r="F346" s="33"/>
      <c r="G346" s="31"/>
      <c r="H346" s="32"/>
      <c r="I346" s="31"/>
      <c r="K346" s="33"/>
      <c r="L346" s="31"/>
      <c r="M346" s="31"/>
      <c r="N346" s="32"/>
      <c r="O346" s="31"/>
    </row>
    <row r="347" spans="1:15" x14ac:dyDescent="0.3">
      <c r="A347" s="27">
        <v>20</v>
      </c>
      <c r="B347" s="28">
        <v>718.45</v>
      </c>
      <c r="C347" s="29">
        <v>1</v>
      </c>
      <c r="D347" s="28">
        <f t="shared" si="15"/>
        <v>718.45</v>
      </c>
      <c r="F347" s="33"/>
      <c r="G347" s="31"/>
      <c r="H347" s="32"/>
      <c r="I347" s="31"/>
      <c r="K347" s="33"/>
      <c r="L347" s="31"/>
      <c r="M347" s="31"/>
      <c r="N347" s="32"/>
      <c r="O347" s="31"/>
    </row>
    <row r="348" spans="1:15" x14ac:dyDescent="0.3">
      <c r="A348" s="27">
        <v>21</v>
      </c>
      <c r="B348" s="28">
        <v>277.32</v>
      </c>
      <c r="C348" s="29">
        <v>1</v>
      </c>
      <c r="D348" s="28">
        <f t="shared" si="15"/>
        <v>277.32</v>
      </c>
      <c r="F348" s="33"/>
      <c r="G348" s="31"/>
      <c r="H348" s="32"/>
      <c r="I348" s="31"/>
      <c r="K348" s="33"/>
      <c r="L348" s="31"/>
      <c r="M348" s="31"/>
      <c r="N348" s="32"/>
      <c r="O348" s="31"/>
    </row>
    <row r="349" spans="1:15" x14ac:dyDescent="0.3">
      <c r="A349" s="27">
        <v>23</v>
      </c>
      <c r="B349" s="28">
        <v>275.33</v>
      </c>
      <c r="C349" s="29">
        <v>1</v>
      </c>
      <c r="D349" s="28">
        <f t="shared" si="15"/>
        <v>275.33</v>
      </c>
      <c r="F349" s="33"/>
      <c r="G349" s="31"/>
      <c r="H349" s="32"/>
      <c r="I349" s="31"/>
      <c r="K349" s="33"/>
      <c r="L349" s="31"/>
      <c r="M349" s="31"/>
      <c r="N349" s="32"/>
      <c r="O349" s="31"/>
    </row>
    <row r="350" spans="1:15" x14ac:dyDescent="0.3">
      <c r="A350" s="27">
        <v>30</v>
      </c>
      <c r="B350" s="28">
        <v>369.48</v>
      </c>
      <c r="C350" s="29">
        <v>1</v>
      </c>
      <c r="D350" s="28">
        <f t="shared" si="15"/>
        <v>369.48</v>
      </c>
      <c r="F350" s="33"/>
      <c r="G350" s="31"/>
      <c r="H350" s="32"/>
      <c r="I350" s="31"/>
      <c r="K350" s="33"/>
      <c r="L350" s="31"/>
      <c r="M350" s="31"/>
      <c r="N350" s="32"/>
      <c r="O350" s="31"/>
    </row>
    <row r="351" spans="1:15" x14ac:dyDescent="0.3">
      <c r="A351" s="27">
        <v>33</v>
      </c>
      <c r="B351" s="28">
        <v>249.84</v>
      </c>
      <c r="C351" s="29">
        <v>1</v>
      </c>
      <c r="D351" s="28">
        <f t="shared" si="15"/>
        <v>249.84</v>
      </c>
      <c r="F351" s="33"/>
      <c r="G351" s="31"/>
      <c r="H351" s="32"/>
      <c r="I351" s="31"/>
      <c r="K351" s="33"/>
      <c r="L351" s="31"/>
      <c r="M351" s="31"/>
      <c r="N351" s="32"/>
      <c r="O351" s="31"/>
    </row>
    <row r="352" spans="1:15" x14ac:dyDescent="0.3">
      <c r="A352" s="27">
        <v>37</v>
      </c>
      <c r="B352" s="28">
        <v>398.68</v>
      </c>
      <c r="C352" s="29">
        <v>1</v>
      </c>
      <c r="D352" s="28">
        <f t="shared" si="15"/>
        <v>398.68</v>
      </c>
      <c r="F352" s="33"/>
      <c r="G352" s="31"/>
      <c r="H352" s="32"/>
      <c r="I352" s="31"/>
      <c r="K352" s="33"/>
      <c r="L352" s="31"/>
      <c r="M352" s="31"/>
      <c r="N352" s="32"/>
      <c r="O352" s="31"/>
    </row>
    <row r="353" spans="1:15" x14ac:dyDescent="0.3">
      <c r="A353" s="27">
        <v>45</v>
      </c>
      <c r="B353" s="28">
        <v>279.93</v>
      </c>
      <c r="C353" s="29">
        <v>1</v>
      </c>
      <c r="D353" s="28">
        <f t="shared" si="15"/>
        <v>279.93</v>
      </c>
      <c r="F353" s="33"/>
      <c r="G353" s="31"/>
      <c r="H353" s="32"/>
      <c r="I353" s="31"/>
      <c r="K353" s="33"/>
      <c r="L353" s="31"/>
      <c r="M353" s="31"/>
      <c r="N353" s="32"/>
      <c r="O353" s="31"/>
    </row>
    <row r="354" spans="1:15" x14ac:dyDescent="0.3">
      <c r="A354" s="27">
        <v>53</v>
      </c>
      <c r="B354" s="28">
        <v>321.11</v>
      </c>
      <c r="C354" s="29">
        <v>1</v>
      </c>
      <c r="D354" s="28">
        <f t="shared" si="15"/>
        <v>321.11</v>
      </c>
      <c r="F354" s="33"/>
      <c r="G354" s="31"/>
      <c r="H354" s="32"/>
      <c r="I354" s="31"/>
      <c r="K354" s="33"/>
      <c r="L354" s="31"/>
      <c r="M354" s="31"/>
      <c r="N354" s="32"/>
      <c r="O354" s="31"/>
    </row>
    <row r="355" spans="1:15" x14ac:dyDescent="0.3">
      <c r="A355" s="27">
        <v>57</v>
      </c>
      <c r="B355" s="28">
        <v>323.92</v>
      </c>
      <c r="C355" s="29">
        <v>1</v>
      </c>
      <c r="D355" s="28">
        <f t="shared" si="15"/>
        <v>323.92</v>
      </c>
      <c r="F355" s="33"/>
      <c r="G355" s="31"/>
      <c r="H355" s="32"/>
      <c r="I355" s="31"/>
      <c r="K355" s="33"/>
      <c r="L355" s="31"/>
      <c r="M355" s="31"/>
      <c r="N355" s="32"/>
      <c r="O355" s="31"/>
    </row>
    <row r="356" spans="1:15" x14ac:dyDescent="0.3">
      <c r="A356" s="27">
        <v>61</v>
      </c>
      <c r="B356" s="28">
        <v>262.07</v>
      </c>
      <c r="C356" s="29">
        <v>1</v>
      </c>
      <c r="D356" s="28">
        <f t="shared" si="15"/>
        <v>262.07</v>
      </c>
      <c r="F356" s="33"/>
      <c r="G356" s="31"/>
      <c r="H356" s="32"/>
      <c r="I356" s="31"/>
      <c r="K356" s="33"/>
      <c r="L356" s="31"/>
      <c r="M356" s="31"/>
      <c r="N356" s="32"/>
      <c r="O356" s="31"/>
    </row>
    <row r="357" spans="1:15" x14ac:dyDescent="0.3">
      <c r="A357" s="27">
        <v>64</v>
      </c>
      <c r="B357" s="28">
        <v>348.47</v>
      </c>
      <c r="C357" s="29">
        <v>1</v>
      </c>
      <c r="D357" s="28">
        <f t="shared" si="15"/>
        <v>348.47</v>
      </c>
      <c r="F357" s="33"/>
      <c r="G357" s="31"/>
      <c r="H357" s="32"/>
      <c r="I357" s="31"/>
      <c r="K357" s="33"/>
      <c r="L357" s="31"/>
      <c r="M357" s="31"/>
      <c r="N357" s="32"/>
      <c r="O357" s="31"/>
    </row>
    <row r="358" spans="1:15" x14ac:dyDescent="0.3">
      <c r="A358" s="27">
        <v>67</v>
      </c>
      <c r="B358" s="28">
        <v>310.23</v>
      </c>
      <c r="C358" s="29">
        <v>1</v>
      </c>
      <c r="D358" s="28">
        <f t="shared" si="15"/>
        <v>310.23</v>
      </c>
      <c r="F358" s="33"/>
      <c r="G358" s="31"/>
      <c r="H358" s="32"/>
      <c r="I358" s="31"/>
      <c r="K358" s="33"/>
      <c r="L358" s="31"/>
      <c r="M358" s="31"/>
      <c r="N358" s="32"/>
      <c r="O358" s="31"/>
    </row>
    <row r="359" spans="1:15" x14ac:dyDescent="0.3">
      <c r="A359" s="27">
        <v>68</v>
      </c>
      <c r="B359" s="28">
        <v>252.75</v>
      </c>
      <c r="C359" s="29">
        <v>1</v>
      </c>
      <c r="D359" s="28">
        <f t="shared" si="15"/>
        <v>252.75</v>
      </c>
      <c r="F359" s="33"/>
      <c r="G359" s="31"/>
      <c r="H359" s="32"/>
      <c r="I359" s="31"/>
      <c r="K359" s="33"/>
      <c r="L359" s="31"/>
      <c r="M359" s="31"/>
      <c r="N359" s="32"/>
      <c r="O359" s="31"/>
    </row>
    <row r="360" spans="1:15" x14ac:dyDescent="0.3">
      <c r="A360" s="27">
        <v>73</v>
      </c>
      <c r="B360" s="28">
        <v>1764.6</v>
      </c>
      <c r="C360" s="29">
        <v>1</v>
      </c>
      <c r="D360" s="28">
        <f t="shared" si="15"/>
        <v>1764.6</v>
      </c>
      <c r="F360" s="30"/>
      <c r="G360" s="31"/>
      <c r="H360" s="32"/>
      <c r="I360" s="31"/>
      <c r="K360" s="33"/>
      <c r="L360" s="31"/>
      <c r="M360" s="31"/>
      <c r="N360" s="32"/>
      <c r="O360" s="31"/>
    </row>
    <row r="361" spans="1:15" x14ac:dyDescent="0.3">
      <c r="A361" s="27">
        <v>76</v>
      </c>
      <c r="B361" s="28">
        <v>687.41</v>
      </c>
      <c r="C361" s="29">
        <v>1</v>
      </c>
      <c r="D361" s="28">
        <f t="shared" si="15"/>
        <v>687.41</v>
      </c>
      <c r="F361" s="30"/>
      <c r="G361" s="31"/>
      <c r="H361" s="32"/>
      <c r="I361" s="31"/>
      <c r="K361" s="33"/>
      <c r="L361" s="31"/>
      <c r="M361" s="31"/>
      <c r="N361" s="32"/>
      <c r="O361" s="31"/>
    </row>
    <row r="362" spans="1:15" x14ac:dyDescent="0.3">
      <c r="A362" s="27">
        <v>77</v>
      </c>
      <c r="B362" s="28">
        <v>518.48</v>
      </c>
      <c r="C362" s="29">
        <v>1</v>
      </c>
      <c r="D362" s="28">
        <f t="shared" si="15"/>
        <v>518.48</v>
      </c>
      <c r="F362" s="30"/>
      <c r="G362" s="31"/>
      <c r="H362" s="32"/>
      <c r="I362" s="31"/>
      <c r="K362" s="33"/>
      <c r="L362" s="31"/>
      <c r="M362" s="31"/>
      <c r="N362" s="32"/>
      <c r="O362" s="31"/>
    </row>
    <row r="363" spans="1:15" x14ac:dyDescent="0.3">
      <c r="A363" s="27">
        <v>104</v>
      </c>
      <c r="B363" s="28">
        <v>1322.92</v>
      </c>
      <c r="C363" s="29">
        <v>0.5</v>
      </c>
      <c r="D363" s="28">
        <f t="shared" si="15"/>
        <v>661.46</v>
      </c>
      <c r="F363" s="30"/>
      <c r="G363" s="31"/>
      <c r="H363" s="32"/>
      <c r="I363" s="31"/>
      <c r="K363" s="33"/>
      <c r="L363" s="31"/>
      <c r="M363" s="31"/>
      <c r="N363" s="32"/>
      <c r="O363" s="31"/>
    </row>
    <row r="364" spans="1:15" x14ac:dyDescent="0.3">
      <c r="A364" s="27">
        <v>106</v>
      </c>
      <c r="B364" s="28">
        <v>1756.07</v>
      </c>
      <c r="C364" s="29">
        <v>1</v>
      </c>
      <c r="D364" s="28">
        <f t="shared" si="15"/>
        <v>1756.07</v>
      </c>
      <c r="F364" s="30"/>
      <c r="G364" s="31"/>
      <c r="H364" s="32"/>
      <c r="I364" s="31"/>
      <c r="K364" s="33"/>
      <c r="L364" s="31"/>
      <c r="M364" s="31"/>
      <c r="N364" s="32"/>
      <c r="O364" s="31"/>
    </row>
    <row r="365" spans="1:15" x14ac:dyDescent="0.3">
      <c r="A365" s="27">
        <v>107</v>
      </c>
      <c r="B365" s="28">
        <v>1051.8399999999999</v>
      </c>
      <c r="C365" s="29">
        <v>0.9</v>
      </c>
      <c r="D365" s="28">
        <f t="shared" si="15"/>
        <v>946.66</v>
      </c>
      <c r="F365" s="30"/>
      <c r="G365" s="31"/>
      <c r="H365" s="32"/>
      <c r="I365" s="31"/>
      <c r="K365" s="33"/>
      <c r="L365" s="31"/>
      <c r="M365" s="31"/>
      <c r="N365" s="32"/>
      <c r="O365" s="31"/>
    </row>
    <row r="366" spans="1:15" x14ac:dyDescent="0.3">
      <c r="A366" s="27">
        <v>108</v>
      </c>
      <c r="B366" s="28">
        <v>298.07</v>
      </c>
      <c r="C366" s="29">
        <v>1</v>
      </c>
      <c r="D366" s="28">
        <f t="shared" si="15"/>
        <v>298.07</v>
      </c>
      <c r="F366" s="30"/>
      <c r="G366" s="31"/>
      <c r="H366" s="32"/>
      <c r="I366" s="31"/>
      <c r="K366" s="33"/>
      <c r="L366" s="31"/>
      <c r="M366" s="31"/>
      <c r="N366" s="32"/>
      <c r="O366" s="31"/>
    </row>
    <row r="367" spans="1:15" x14ac:dyDescent="0.3">
      <c r="A367" s="27">
        <v>123</v>
      </c>
      <c r="B367" s="28">
        <v>1273.93</v>
      </c>
      <c r="C367" s="29">
        <v>0.7</v>
      </c>
      <c r="D367" s="28">
        <f t="shared" si="15"/>
        <v>891.75</v>
      </c>
      <c r="F367" s="30"/>
      <c r="G367" s="31"/>
      <c r="H367" s="32"/>
      <c r="I367" s="31"/>
      <c r="K367" s="33"/>
      <c r="L367" s="31"/>
      <c r="M367" s="31"/>
      <c r="N367" s="32"/>
      <c r="O367" s="31"/>
    </row>
    <row r="368" spans="1:15" x14ac:dyDescent="0.3">
      <c r="C368" s="24" t="s">
        <v>27</v>
      </c>
      <c r="D368" s="35">
        <f>SUM(D346:D367)</f>
        <v>12160.16</v>
      </c>
      <c r="G368" s="31"/>
      <c r="H368" s="26"/>
      <c r="I368" s="25"/>
      <c r="L368" s="31"/>
      <c r="M368" s="31"/>
      <c r="N368" s="26"/>
      <c r="O368" s="25"/>
    </row>
    <row r="369" spans="1:15" x14ac:dyDescent="0.3">
      <c r="G369" s="31"/>
      <c r="L369" s="31"/>
      <c r="M369" s="31"/>
    </row>
    <row r="370" spans="1:15" ht="15" customHeight="1" x14ac:dyDescent="0.3">
      <c r="B370" s="297" t="s">
        <v>28</v>
      </c>
      <c r="C370" s="297"/>
      <c r="D370" s="34" t="e">
        <f>+ROUND(D368/($D$1*D344),2)</f>
        <v>#REF!</v>
      </c>
      <c r="G370" s="297"/>
      <c r="H370" s="297"/>
      <c r="I370" s="31"/>
      <c r="L370" s="297"/>
      <c r="M370" s="297"/>
      <c r="N370" s="297"/>
      <c r="O370" s="31"/>
    </row>
    <row r="371" spans="1:15" x14ac:dyDescent="0.3">
      <c r="B371" s="36"/>
      <c r="C371" s="37" t="s">
        <v>29</v>
      </c>
      <c r="D371" s="38" t="e">
        <f>IF(D370&lt;=3,60,IF(D370&lt;=6,80,IF(D370&lt;=10,100,120)))</f>
        <v>#REF!</v>
      </c>
      <c r="G371" s="39"/>
      <c r="H371" s="40"/>
      <c r="I371" s="41"/>
      <c r="L371" s="39"/>
      <c r="M371" s="39"/>
      <c r="N371" s="40"/>
      <c r="O371" s="41"/>
    </row>
    <row r="372" spans="1:15" x14ac:dyDescent="0.3">
      <c r="D372" s="34"/>
      <c r="G372" s="31"/>
      <c r="I372" s="31"/>
      <c r="L372" s="31"/>
      <c r="M372" s="31"/>
      <c r="O372" s="31"/>
    </row>
    <row r="373" spans="1:15" x14ac:dyDescent="0.3">
      <c r="B373" s="297" t="s">
        <v>30</v>
      </c>
      <c r="C373" s="297"/>
      <c r="D373" s="34">
        <v>8.0299999999999994</v>
      </c>
      <c r="G373" s="297"/>
      <c r="H373" s="297"/>
      <c r="I373" s="31"/>
      <c r="L373" s="297"/>
      <c r="M373" s="297"/>
      <c r="N373" s="297"/>
      <c r="O373" s="31"/>
    </row>
    <row r="374" spans="1:15" x14ac:dyDescent="0.3">
      <c r="B374" s="36"/>
      <c r="C374" s="37" t="s">
        <v>31</v>
      </c>
      <c r="D374" s="42">
        <f>IF(D373&lt;0.5,20,IF(D373&lt;0.75,25,IF(D373&lt;1,30,IF(D373&lt;1.5,35,40))))</f>
        <v>40</v>
      </c>
      <c r="G374" s="39"/>
      <c r="H374" s="40"/>
      <c r="I374" s="25"/>
      <c r="L374" s="39"/>
      <c r="M374" s="39"/>
      <c r="N374" s="40"/>
      <c r="O374" s="25"/>
    </row>
    <row r="375" spans="1:15" x14ac:dyDescent="0.3">
      <c r="G375" s="31"/>
      <c r="L375" s="31"/>
      <c r="M375" s="31"/>
    </row>
    <row r="376" spans="1:15" ht="15" customHeight="1" x14ac:dyDescent="0.3">
      <c r="B376" s="297" t="s">
        <v>32</v>
      </c>
      <c r="C376" s="297"/>
      <c r="D376" s="34">
        <v>1</v>
      </c>
      <c r="G376" s="297"/>
      <c r="H376" s="297"/>
      <c r="I376" s="31"/>
      <c r="L376" s="297"/>
      <c r="M376" s="297"/>
      <c r="N376" s="297"/>
      <c r="O376" s="31"/>
    </row>
    <row r="377" spans="1:15" x14ac:dyDescent="0.3">
      <c r="B377" s="36"/>
      <c r="C377" s="37" t="s">
        <v>33</v>
      </c>
      <c r="D377" s="38">
        <f>IF(D376&gt;=11,40,IF(D376&gt;=6,30,20))</f>
        <v>20</v>
      </c>
      <c r="G377" s="39"/>
      <c r="H377" s="40"/>
      <c r="I377" s="41"/>
      <c r="L377" s="39"/>
      <c r="M377" s="39"/>
      <c r="N377" s="40"/>
      <c r="O377" s="41"/>
    </row>
    <row r="378" spans="1:15" x14ac:dyDescent="0.3">
      <c r="G378" s="31"/>
      <c r="L378" s="31"/>
      <c r="M378" s="31"/>
    </row>
    <row r="379" spans="1:15" ht="15" customHeight="1" x14ac:dyDescent="0.3">
      <c r="A379" s="298" t="s">
        <v>34</v>
      </c>
      <c r="B379" s="299"/>
      <c r="C379" s="299"/>
      <c r="D379" s="300"/>
      <c r="F379" s="301"/>
      <c r="G379" s="301"/>
      <c r="H379" s="301"/>
      <c r="I379" s="301"/>
      <c r="K379" s="301"/>
      <c r="L379" s="301"/>
      <c r="M379" s="301"/>
      <c r="N379" s="301"/>
      <c r="O379" s="301"/>
    </row>
    <row r="380" spans="1:15" x14ac:dyDescent="0.3">
      <c r="A380" s="43" t="s">
        <v>23</v>
      </c>
      <c r="B380" s="43" t="s">
        <v>35</v>
      </c>
      <c r="C380" s="43" t="s">
        <v>36</v>
      </c>
      <c r="D380" s="43" t="s">
        <v>37</v>
      </c>
      <c r="F380" s="44"/>
      <c r="G380" s="44"/>
      <c r="H380" s="44"/>
      <c r="I380" s="44"/>
      <c r="K380" s="44"/>
      <c r="L380" s="44"/>
      <c r="M380" s="44"/>
      <c r="N380" s="44"/>
      <c r="O380" s="44"/>
    </row>
    <row r="381" spans="1:15" x14ac:dyDescent="0.3">
      <c r="A381" s="45">
        <v>1</v>
      </c>
      <c r="B381" s="46">
        <v>5019852024</v>
      </c>
      <c r="C381" s="45">
        <v>15</v>
      </c>
      <c r="D381" s="28"/>
      <c r="G381" s="77"/>
      <c r="I381" s="31"/>
      <c r="L381" s="77"/>
      <c r="M381" s="77"/>
      <c r="O381" s="31"/>
    </row>
    <row r="382" spans="1:15" x14ac:dyDescent="0.3">
      <c r="A382" s="45">
        <v>2</v>
      </c>
      <c r="B382" s="46">
        <v>4170342759</v>
      </c>
      <c r="C382" s="45">
        <v>18</v>
      </c>
      <c r="D382" s="28"/>
      <c r="G382" s="77"/>
      <c r="I382" s="31"/>
      <c r="L382" s="77"/>
      <c r="M382" s="77"/>
      <c r="O382" s="31"/>
    </row>
    <row r="383" spans="1:15" x14ac:dyDescent="0.3">
      <c r="A383" s="45">
        <v>3</v>
      </c>
      <c r="B383" s="46">
        <v>3979888904</v>
      </c>
      <c r="C383" s="45">
        <v>14</v>
      </c>
      <c r="D383" s="28"/>
      <c r="G383" s="77"/>
      <c r="I383" s="31"/>
      <c r="L383" s="77"/>
      <c r="M383" s="77"/>
      <c r="O383" s="31"/>
    </row>
    <row r="384" spans="1:15" x14ac:dyDescent="0.3">
      <c r="A384" s="45">
        <v>4</v>
      </c>
      <c r="B384" s="46">
        <v>141644693</v>
      </c>
      <c r="C384" s="45">
        <v>2</v>
      </c>
      <c r="D384" s="28"/>
      <c r="G384" s="77"/>
      <c r="I384" s="31"/>
      <c r="L384" s="77"/>
      <c r="M384" s="77"/>
      <c r="O384" s="31"/>
    </row>
    <row r="385" spans="1:15" x14ac:dyDescent="0.3">
      <c r="A385" s="45">
        <v>5</v>
      </c>
      <c r="B385" s="46">
        <v>211695185</v>
      </c>
      <c r="C385" s="45">
        <v>6.5</v>
      </c>
      <c r="D385" s="28"/>
      <c r="G385" s="77"/>
      <c r="I385" s="31"/>
      <c r="L385" s="77"/>
      <c r="M385" s="77"/>
      <c r="O385" s="31"/>
    </row>
    <row r="386" spans="1:15" x14ac:dyDescent="0.3">
      <c r="A386" s="45">
        <v>6</v>
      </c>
      <c r="B386" s="46">
        <v>359820992.92000002</v>
      </c>
      <c r="C386" s="45">
        <v>4</v>
      </c>
      <c r="D386" s="28"/>
      <c r="G386" s="77"/>
      <c r="I386" s="31"/>
      <c r="L386" s="77"/>
      <c r="M386" s="77"/>
      <c r="O386" s="31"/>
    </row>
    <row r="387" spans="1:15" x14ac:dyDescent="0.3">
      <c r="A387" s="45">
        <v>7</v>
      </c>
      <c r="B387" s="46">
        <v>1936047543</v>
      </c>
      <c r="C387" s="45">
        <v>7</v>
      </c>
      <c r="D387" s="28"/>
      <c r="G387" s="77"/>
      <c r="I387" s="31"/>
      <c r="L387" s="77"/>
      <c r="M387" s="77"/>
      <c r="O387" s="31"/>
    </row>
    <row r="388" spans="1:15" x14ac:dyDescent="0.3">
      <c r="A388" s="45">
        <v>8</v>
      </c>
      <c r="B388" s="46">
        <v>279949927</v>
      </c>
      <c r="C388" s="45">
        <v>6</v>
      </c>
      <c r="D388" s="28"/>
      <c r="G388" s="77"/>
      <c r="I388" s="31"/>
      <c r="L388" s="77"/>
      <c r="M388" s="77"/>
      <c r="O388" s="31"/>
    </row>
    <row r="389" spans="1:15" x14ac:dyDescent="0.3">
      <c r="A389" s="45">
        <v>9</v>
      </c>
      <c r="B389" s="46">
        <v>943151533</v>
      </c>
      <c r="C389" s="45">
        <v>5</v>
      </c>
      <c r="D389" s="28"/>
      <c r="G389" s="77"/>
      <c r="I389" s="31"/>
      <c r="L389" s="77"/>
      <c r="M389" s="77"/>
      <c r="O389" s="31"/>
    </row>
    <row r="390" spans="1:15" x14ac:dyDescent="0.3">
      <c r="A390" s="45">
        <v>10</v>
      </c>
      <c r="B390" s="46">
        <v>779234672</v>
      </c>
      <c r="C390" s="45">
        <v>6</v>
      </c>
      <c r="D390" s="28"/>
      <c r="G390" s="77"/>
      <c r="I390" s="31"/>
      <c r="L390" s="77"/>
      <c r="M390" s="77"/>
      <c r="O390" s="31"/>
    </row>
    <row r="391" spans="1:15" x14ac:dyDescent="0.3">
      <c r="A391" s="43" t="s">
        <v>23</v>
      </c>
      <c r="B391" s="43" t="s">
        <v>38</v>
      </c>
      <c r="C391" s="43" t="s">
        <v>25</v>
      </c>
      <c r="D391" s="45" t="s">
        <v>39</v>
      </c>
      <c r="F391" s="44"/>
      <c r="G391" s="44"/>
      <c r="H391" s="44"/>
      <c r="K391" s="44"/>
      <c r="L391" s="44"/>
      <c r="M391" s="44"/>
      <c r="N391" s="44"/>
    </row>
    <row r="392" spans="1:15" x14ac:dyDescent="0.3">
      <c r="A392" s="45">
        <v>1</v>
      </c>
      <c r="B392" s="47">
        <v>251</v>
      </c>
      <c r="C392" s="29">
        <v>0.34</v>
      </c>
      <c r="D392" s="28">
        <f t="shared" ref="D392:D401" si="16">+ROUND((B381*B392*C392)/(C381*30),0)</f>
        <v>951987048</v>
      </c>
      <c r="G392" s="33"/>
      <c r="H392" s="32"/>
      <c r="I392" s="31"/>
      <c r="L392" s="31"/>
      <c r="M392" s="31"/>
      <c r="N392" s="32"/>
      <c r="O392" s="31"/>
    </row>
    <row r="393" spans="1:15" x14ac:dyDescent="0.3">
      <c r="A393" s="45">
        <v>2</v>
      </c>
      <c r="B393" s="47">
        <v>4</v>
      </c>
      <c r="C393" s="29">
        <v>0.33</v>
      </c>
      <c r="D393" s="28">
        <f t="shared" si="16"/>
        <v>10194171</v>
      </c>
      <c r="G393" s="78"/>
      <c r="H393" s="79"/>
      <c r="I393" s="31"/>
      <c r="L393" s="31"/>
      <c r="M393" s="31"/>
      <c r="N393" s="80"/>
      <c r="O393" s="31"/>
    </row>
    <row r="394" spans="1:15" x14ac:dyDescent="0.3">
      <c r="A394" s="45">
        <v>3</v>
      </c>
      <c r="B394" s="47">
        <v>35</v>
      </c>
      <c r="C394" s="29">
        <v>1</v>
      </c>
      <c r="D394" s="28">
        <f t="shared" si="16"/>
        <v>331657409</v>
      </c>
      <c r="G394" s="78"/>
      <c r="H394" s="79"/>
      <c r="I394" s="31"/>
      <c r="L394" s="31"/>
      <c r="M394" s="31"/>
      <c r="N394" s="80"/>
      <c r="O394" s="31"/>
    </row>
    <row r="395" spans="1:15" x14ac:dyDescent="0.3">
      <c r="A395" s="45">
        <v>4</v>
      </c>
      <c r="B395" s="47">
        <v>35</v>
      </c>
      <c r="C395" s="29">
        <v>1</v>
      </c>
      <c r="D395" s="28">
        <f t="shared" si="16"/>
        <v>82626071</v>
      </c>
      <c r="G395" s="33"/>
      <c r="H395" s="32"/>
      <c r="I395" s="31"/>
      <c r="L395" s="31"/>
      <c r="M395" s="31"/>
      <c r="N395" s="32"/>
      <c r="O395" s="31"/>
    </row>
    <row r="396" spans="1:15" x14ac:dyDescent="0.3">
      <c r="A396" s="45">
        <v>5</v>
      </c>
      <c r="B396" s="47">
        <v>98</v>
      </c>
      <c r="C396" s="29">
        <v>1</v>
      </c>
      <c r="D396" s="28">
        <f t="shared" si="16"/>
        <v>106390401</v>
      </c>
      <c r="G396" s="33"/>
      <c r="H396" s="32"/>
      <c r="I396" s="31"/>
      <c r="L396" s="31"/>
      <c r="M396" s="31"/>
      <c r="N396" s="32"/>
      <c r="O396" s="31"/>
    </row>
    <row r="397" spans="1:15" x14ac:dyDescent="0.3">
      <c r="A397" s="45">
        <v>6</v>
      </c>
      <c r="B397" s="47">
        <v>20</v>
      </c>
      <c r="C397" s="29">
        <v>1</v>
      </c>
      <c r="D397" s="28">
        <f t="shared" si="16"/>
        <v>59970165</v>
      </c>
      <c r="G397" s="33"/>
      <c r="H397" s="32"/>
      <c r="I397" s="31"/>
      <c r="L397" s="31"/>
      <c r="M397" s="31"/>
      <c r="N397" s="32"/>
      <c r="O397" s="31"/>
    </row>
    <row r="398" spans="1:15" x14ac:dyDescent="0.3">
      <c r="A398" s="45">
        <v>7</v>
      </c>
      <c r="B398" s="47">
        <v>210</v>
      </c>
      <c r="C398" s="29">
        <v>0.5</v>
      </c>
      <c r="D398" s="28">
        <f t="shared" si="16"/>
        <v>968023772</v>
      </c>
      <c r="G398" s="33"/>
      <c r="H398" s="32"/>
      <c r="I398" s="31"/>
      <c r="L398" s="31"/>
      <c r="M398" s="31"/>
      <c r="N398" s="32"/>
      <c r="O398" s="31"/>
    </row>
    <row r="399" spans="1:15" x14ac:dyDescent="0.3">
      <c r="A399" s="45">
        <v>8</v>
      </c>
      <c r="B399" s="47">
        <v>180</v>
      </c>
      <c r="C399" s="29">
        <v>0.2</v>
      </c>
      <c r="D399" s="28">
        <f t="shared" si="16"/>
        <v>55989985</v>
      </c>
      <c r="G399" s="33"/>
      <c r="H399" s="32"/>
      <c r="I399" s="31"/>
      <c r="L399" s="31"/>
      <c r="M399" s="31"/>
      <c r="N399" s="32"/>
      <c r="O399" s="31"/>
    </row>
    <row r="400" spans="1:15" x14ac:dyDescent="0.3">
      <c r="A400" s="45">
        <v>9</v>
      </c>
      <c r="B400" s="47">
        <v>150</v>
      </c>
      <c r="C400" s="29">
        <v>0.7</v>
      </c>
      <c r="D400" s="28">
        <f t="shared" si="16"/>
        <v>660206073</v>
      </c>
      <c r="G400" s="33"/>
      <c r="H400" s="32"/>
      <c r="I400" s="31"/>
      <c r="L400" s="31"/>
      <c r="M400" s="31"/>
      <c r="N400" s="32"/>
      <c r="O400" s="31"/>
    </row>
    <row r="401" spans="1:15" x14ac:dyDescent="0.3">
      <c r="A401" s="45">
        <v>10</v>
      </c>
      <c r="B401" s="47">
        <v>180</v>
      </c>
      <c r="C401" s="29">
        <v>0.5</v>
      </c>
      <c r="D401" s="28">
        <f t="shared" si="16"/>
        <v>389617336</v>
      </c>
      <c r="G401" s="33"/>
      <c r="H401" s="32"/>
      <c r="I401" s="31"/>
      <c r="L401" s="31"/>
      <c r="M401" s="31"/>
      <c r="N401" s="32"/>
      <c r="O401" s="31"/>
    </row>
    <row r="402" spans="1:15" x14ac:dyDescent="0.3">
      <c r="C402" s="37" t="s">
        <v>40</v>
      </c>
      <c r="D402" s="50">
        <f>+SUM(D392:D401)</f>
        <v>3616662431</v>
      </c>
      <c r="G402" s="31"/>
      <c r="H402" s="40"/>
      <c r="I402" s="51"/>
      <c r="L402" s="31"/>
      <c r="M402" s="31"/>
      <c r="N402" s="40"/>
      <c r="O402" s="51"/>
    </row>
    <row r="406" spans="1:15" x14ac:dyDescent="0.3">
      <c r="A406" s="302">
        <v>16</v>
      </c>
      <c r="B406" s="303"/>
      <c r="C406" s="303"/>
      <c r="D406" s="303"/>
      <c r="E406" s="303"/>
      <c r="F406" s="303"/>
      <c r="G406" s="303"/>
      <c r="H406" s="303"/>
      <c r="I406" s="303"/>
      <c r="J406" s="303"/>
      <c r="K406" s="303"/>
      <c r="L406" s="303"/>
      <c r="M406" s="303"/>
      <c r="N406" s="303"/>
      <c r="O406" s="304"/>
    </row>
    <row r="408" spans="1:15" x14ac:dyDescent="0.3">
      <c r="A408" s="305" t="e">
        <f>'[1]Exp general'!#REF!</f>
        <v>#REF!</v>
      </c>
      <c r="B408" s="306"/>
      <c r="C408" s="306"/>
      <c r="D408" s="307"/>
      <c r="F408" s="308"/>
      <c r="G408" s="308"/>
      <c r="H408" s="308"/>
      <c r="I408" s="308"/>
      <c r="K408" s="308"/>
      <c r="L408" s="308"/>
      <c r="M408" s="308"/>
      <c r="N408" s="308"/>
      <c r="O408" s="308"/>
    </row>
    <row r="409" spans="1:15" ht="15" customHeight="1" x14ac:dyDescent="0.3">
      <c r="A409" s="305" t="s">
        <v>22</v>
      </c>
      <c r="B409" s="306"/>
      <c r="C409" s="307"/>
      <c r="D409" s="21" t="e">
        <f>'[1]Exp general'!#REF!</f>
        <v>#REF!</v>
      </c>
      <c r="F409" s="308"/>
      <c r="G409" s="308"/>
      <c r="H409" s="308"/>
      <c r="I409" s="22"/>
      <c r="K409" s="308"/>
      <c r="L409" s="308"/>
      <c r="M409" s="308"/>
      <c r="N409" s="308"/>
      <c r="O409" s="22"/>
    </row>
    <row r="410" spans="1:15" x14ac:dyDescent="0.3">
      <c r="A410" s="23" t="s">
        <v>23</v>
      </c>
      <c r="B410" s="23" t="s">
        <v>24</v>
      </c>
      <c r="C410" s="24" t="s">
        <v>25</v>
      </c>
      <c r="D410" s="24" t="s">
        <v>26</v>
      </c>
      <c r="F410" s="25"/>
      <c r="G410" s="25"/>
      <c r="H410" s="26"/>
      <c r="I410" s="26"/>
      <c r="K410" s="25"/>
      <c r="L410" s="25"/>
      <c r="M410" s="25"/>
      <c r="N410" s="26"/>
      <c r="O410" s="26"/>
    </row>
    <row r="411" spans="1:15" x14ac:dyDescent="0.3">
      <c r="A411" s="27">
        <v>6</v>
      </c>
      <c r="B411" s="28">
        <v>9838.85</v>
      </c>
      <c r="C411" s="29">
        <v>0.5</v>
      </c>
      <c r="D411" s="28">
        <f t="shared" ref="D411:D414" si="17">+ROUND(B411*C411,2)</f>
        <v>4919.43</v>
      </c>
      <c r="F411" s="33"/>
      <c r="G411" s="31"/>
      <c r="H411" s="32"/>
      <c r="I411" s="31"/>
      <c r="K411" s="33"/>
      <c r="L411" s="31"/>
      <c r="M411" s="31"/>
      <c r="N411" s="32"/>
      <c r="O411" s="31"/>
    </row>
    <row r="412" spans="1:15" x14ac:dyDescent="0.3">
      <c r="A412" s="27">
        <v>23</v>
      </c>
      <c r="B412" s="28">
        <v>7958</v>
      </c>
      <c r="C412" s="29">
        <v>0.75</v>
      </c>
      <c r="D412" s="28">
        <f t="shared" si="17"/>
        <v>5968.5</v>
      </c>
      <c r="F412" s="33"/>
      <c r="G412" s="31"/>
      <c r="H412" s="32"/>
      <c r="I412" s="31"/>
      <c r="K412" s="33"/>
      <c r="L412" s="31"/>
      <c r="M412" s="31"/>
      <c r="N412" s="32"/>
      <c r="O412" s="31"/>
    </row>
    <row r="413" spans="1:15" x14ac:dyDescent="0.3">
      <c r="A413" s="27">
        <v>26</v>
      </c>
      <c r="B413" s="28">
        <v>4077.44</v>
      </c>
      <c r="C413" s="29">
        <v>0.5</v>
      </c>
      <c r="D413" s="28">
        <f t="shared" si="17"/>
        <v>2038.72</v>
      </c>
      <c r="F413" s="33"/>
      <c r="G413" s="31"/>
      <c r="H413" s="32"/>
      <c r="I413" s="31"/>
      <c r="K413" s="33"/>
      <c r="L413" s="31"/>
      <c r="M413" s="31"/>
      <c r="N413" s="32"/>
      <c r="O413" s="31"/>
    </row>
    <row r="414" spans="1:15" x14ac:dyDescent="0.3">
      <c r="A414" s="81">
        <v>27</v>
      </c>
      <c r="B414" s="82">
        <v>7766.99</v>
      </c>
      <c r="C414" s="83">
        <v>0.5</v>
      </c>
      <c r="D414" s="28">
        <f t="shared" si="17"/>
        <v>3883.5</v>
      </c>
      <c r="F414" s="33"/>
      <c r="G414" s="31"/>
      <c r="H414" s="32"/>
      <c r="I414" s="31"/>
      <c r="K414" s="33"/>
      <c r="L414" s="31"/>
      <c r="M414" s="31"/>
      <c r="N414" s="32"/>
      <c r="O414" s="31"/>
    </row>
    <row r="415" spans="1:15" x14ac:dyDescent="0.3">
      <c r="C415" s="24" t="s">
        <v>27</v>
      </c>
      <c r="D415" s="35">
        <f>SUM(D411:D414)</f>
        <v>16810.150000000001</v>
      </c>
      <c r="G415" s="31"/>
      <c r="H415" s="26"/>
      <c r="I415" s="25"/>
      <c r="L415" s="31"/>
      <c r="M415" s="31"/>
      <c r="N415" s="26"/>
      <c r="O415" s="25"/>
    </row>
    <row r="416" spans="1:15" x14ac:dyDescent="0.3">
      <c r="G416" s="31"/>
      <c r="L416" s="31"/>
      <c r="M416" s="31"/>
    </row>
    <row r="417" spans="1:15" ht="15" customHeight="1" x14ac:dyDescent="0.3">
      <c r="B417" s="297" t="s">
        <v>28</v>
      </c>
      <c r="C417" s="297"/>
      <c r="D417" s="34" t="e">
        <f>+ROUND(D415/($D$1*D409),2)</f>
        <v>#REF!</v>
      </c>
      <c r="G417" s="297"/>
      <c r="H417" s="297"/>
      <c r="I417" s="31"/>
      <c r="L417" s="297"/>
      <c r="M417" s="297"/>
      <c r="N417" s="297"/>
      <c r="O417" s="31"/>
    </row>
    <row r="418" spans="1:15" x14ac:dyDescent="0.3">
      <c r="B418" s="36"/>
      <c r="C418" s="37" t="s">
        <v>29</v>
      </c>
      <c r="D418" s="38" t="e">
        <f>IF(D417&lt;=3,60,IF(D417&lt;=6,80,IF(D417&lt;=10,100,120)))</f>
        <v>#REF!</v>
      </c>
      <c r="G418" s="39"/>
      <c r="H418" s="40"/>
      <c r="I418" s="41"/>
      <c r="L418" s="39"/>
      <c r="M418" s="39"/>
      <c r="N418" s="40"/>
      <c r="O418" s="41"/>
    </row>
    <row r="419" spans="1:15" x14ac:dyDescent="0.3">
      <c r="D419" s="34"/>
      <c r="G419" s="31"/>
      <c r="I419" s="31"/>
      <c r="L419" s="31"/>
      <c r="M419" s="31"/>
      <c r="O419" s="31"/>
    </row>
    <row r="420" spans="1:15" x14ac:dyDescent="0.3">
      <c r="B420" s="297" t="s">
        <v>30</v>
      </c>
      <c r="C420" s="297"/>
      <c r="D420" s="34">
        <v>76.239999999999995</v>
      </c>
      <c r="G420" s="297"/>
      <c r="H420" s="297"/>
      <c r="I420" s="31"/>
      <c r="L420" s="297"/>
      <c r="M420" s="297"/>
      <c r="N420" s="297"/>
      <c r="O420" s="31"/>
    </row>
    <row r="421" spans="1:15" x14ac:dyDescent="0.3">
      <c r="B421" s="36"/>
      <c r="C421" s="37" t="s">
        <v>31</v>
      </c>
      <c r="D421" s="42">
        <f>IF(D420&lt;0.5,20,IF(D420&lt;0.75,25,IF(D420&lt;1,30,IF(D420&lt;1.5,35,40))))</f>
        <v>40</v>
      </c>
      <c r="G421" s="39"/>
      <c r="H421" s="40"/>
      <c r="I421" s="25"/>
      <c r="L421" s="39"/>
      <c r="M421" s="39"/>
      <c r="N421" s="40"/>
      <c r="O421" s="25"/>
    </row>
    <row r="422" spans="1:15" x14ac:dyDescent="0.3">
      <c r="G422" s="31"/>
      <c r="L422" s="31"/>
      <c r="M422" s="31"/>
    </row>
    <row r="423" spans="1:15" ht="15" customHeight="1" x14ac:dyDescent="0.3">
      <c r="B423" s="297" t="s">
        <v>32</v>
      </c>
      <c r="C423" s="297"/>
      <c r="D423" s="34">
        <v>1</v>
      </c>
      <c r="G423" s="297"/>
      <c r="H423" s="297"/>
      <c r="I423" s="31"/>
      <c r="L423" s="297"/>
      <c r="M423" s="297"/>
      <c r="N423" s="297"/>
      <c r="O423" s="31"/>
    </row>
    <row r="424" spans="1:15" x14ac:dyDescent="0.3">
      <c r="B424" s="36"/>
      <c r="C424" s="37" t="s">
        <v>33</v>
      </c>
      <c r="D424" s="38">
        <f>IF(D423&gt;=11,40,IF(D423&gt;=6,30,20))</f>
        <v>20</v>
      </c>
      <c r="G424" s="39"/>
      <c r="H424" s="40"/>
      <c r="I424" s="41"/>
      <c r="L424" s="39"/>
      <c r="M424" s="39"/>
      <c r="N424" s="40"/>
      <c r="O424" s="41"/>
    </row>
    <row r="425" spans="1:15" x14ac:dyDescent="0.3">
      <c r="G425" s="31"/>
      <c r="L425" s="31"/>
      <c r="M425" s="31"/>
    </row>
    <row r="426" spans="1:15" ht="15" customHeight="1" x14ac:dyDescent="0.3">
      <c r="A426" s="298" t="s">
        <v>34</v>
      </c>
      <c r="B426" s="299"/>
      <c r="C426" s="299"/>
      <c r="D426" s="300"/>
      <c r="F426" s="301"/>
      <c r="G426" s="301"/>
      <c r="H426" s="301"/>
      <c r="I426" s="301"/>
      <c r="K426" s="301"/>
      <c r="L426" s="301"/>
      <c r="M426" s="301"/>
      <c r="N426" s="301"/>
      <c r="O426" s="301"/>
    </row>
    <row r="427" spans="1:15" x14ac:dyDescent="0.3">
      <c r="A427" s="43" t="s">
        <v>23</v>
      </c>
      <c r="B427" s="43" t="s">
        <v>35</v>
      </c>
      <c r="C427" s="43" t="s">
        <v>36</v>
      </c>
      <c r="D427" s="43" t="s">
        <v>37</v>
      </c>
      <c r="F427" s="44"/>
      <c r="G427" s="44"/>
      <c r="H427" s="44"/>
      <c r="I427" s="44"/>
      <c r="K427" s="44"/>
      <c r="L427" s="44"/>
      <c r="M427" s="44"/>
      <c r="N427" s="44"/>
      <c r="O427" s="44"/>
    </row>
    <row r="428" spans="1:15" x14ac:dyDescent="0.3">
      <c r="A428" s="45">
        <v>1</v>
      </c>
      <c r="B428" s="46">
        <v>2339379071</v>
      </c>
      <c r="C428" s="45">
        <v>17</v>
      </c>
      <c r="D428" s="28"/>
      <c r="G428" s="77"/>
      <c r="I428" s="31"/>
      <c r="L428" s="77"/>
      <c r="M428" s="77"/>
      <c r="O428" s="31"/>
    </row>
    <row r="429" spans="1:15" x14ac:dyDescent="0.3">
      <c r="A429" s="45">
        <v>2</v>
      </c>
      <c r="B429" s="46">
        <v>1894384332</v>
      </c>
      <c r="C429" s="45">
        <v>14</v>
      </c>
      <c r="D429" s="28"/>
      <c r="G429" s="77"/>
      <c r="I429" s="31"/>
      <c r="L429" s="77"/>
      <c r="M429" s="77"/>
      <c r="O429" s="31"/>
    </row>
    <row r="430" spans="1:15" x14ac:dyDescent="0.3">
      <c r="A430" s="45">
        <v>3</v>
      </c>
      <c r="B430" s="46">
        <v>412745159</v>
      </c>
      <c r="C430" s="45">
        <v>6</v>
      </c>
      <c r="D430" s="28"/>
      <c r="G430" s="77"/>
      <c r="I430" s="31"/>
      <c r="L430" s="77"/>
      <c r="M430" s="77"/>
      <c r="O430" s="31"/>
    </row>
    <row r="431" spans="1:15" x14ac:dyDescent="0.3">
      <c r="A431" s="45">
        <v>4</v>
      </c>
      <c r="B431" s="46">
        <v>4337672963</v>
      </c>
      <c r="C431" s="45">
        <v>7</v>
      </c>
      <c r="D431" s="28"/>
      <c r="G431" s="77"/>
      <c r="I431" s="31"/>
      <c r="L431" s="77"/>
      <c r="M431" s="77"/>
      <c r="O431" s="31"/>
    </row>
    <row r="432" spans="1:15" x14ac:dyDescent="0.3">
      <c r="A432" s="45">
        <v>5</v>
      </c>
      <c r="B432" s="46">
        <v>419885768</v>
      </c>
      <c r="C432" s="45">
        <v>2</v>
      </c>
      <c r="D432" s="28"/>
      <c r="G432" s="77"/>
      <c r="I432" s="31"/>
      <c r="L432" s="77"/>
      <c r="M432" s="77"/>
      <c r="O432" s="31"/>
    </row>
    <row r="433" spans="1:15" x14ac:dyDescent="0.3">
      <c r="A433" s="43" t="s">
        <v>23</v>
      </c>
      <c r="B433" s="43" t="s">
        <v>38</v>
      </c>
      <c r="C433" s="43" t="s">
        <v>25</v>
      </c>
      <c r="D433" s="45" t="s">
        <v>39</v>
      </c>
      <c r="F433" s="44"/>
      <c r="G433" s="44"/>
      <c r="H433" s="44"/>
      <c r="K433" s="44"/>
      <c r="L433" s="44"/>
      <c r="M433" s="44"/>
      <c r="N433" s="44"/>
    </row>
    <row r="434" spans="1:15" x14ac:dyDescent="0.3">
      <c r="A434" s="45">
        <v>1</v>
      </c>
      <c r="B434" s="47">
        <v>13</v>
      </c>
      <c r="C434" s="29">
        <v>0.3</v>
      </c>
      <c r="D434" s="28">
        <f>+ROUND((B428*B434*C434)/(C428*30),0)</f>
        <v>17889369</v>
      </c>
      <c r="G434" s="33"/>
      <c r="H434" s="32"/>
      <c r="I434" s="31"/>
      <c r="L434" s="31"/>
      <c r="M434" s="31"/>
      <c r="N434" s="32"/>
      <c r="O434" s="31"/>
    </row>
    <row r="435" spans="1:15" x14ac:dyDescent="0.3">
      <c r="A435" s="45">
        <v>2</v>
      </c>
      <c r="B435" s="47">
        <v>7</v>
      </c>
      <c r="C435" s="29">
        <v>0.5</v>
      </c>
      <c r="D435" s="28">
        <f>+ROUND((B429*B435*C435)/(C429*30),0)</f>
        <v>15786536</v>
      </c>
      <c r="G435" s="78"/>
      <c r="H435" s="79"/>
      <c r="I435" s="31"/>
      <c r="L435" s="31"/>
      <c r="M435" s="31"/>
      <c r="N435" s="80"/>
      <c r="O435" s="31"/>
    </row>
    <row r="436" spans="1:15" x14ac:dyDescent="0.3">
      <c r="A436" s="45">
        <v>3</v>
      </c>
      <c r="B436" s="47">
        <v>23</v>
      </c>
      <c r="C436" s="29">
        <v>0.5</v>
      </c>
      <c r="D436" s="28">
        <f>+ROUND((B430*B436*C436)/(C430*30),0)</f>
        <v>26369830</v>
      </c>
      <c r="G436" s="78"/>
      <c r="H436" s="79"/>
      <c r="I436" s="31"/>
      <c r="L436" s="31"/>
      <c r="M436" s="31"/>
      <c r="N436" s="80"/>
      <c r="O436" s="31"/>
    </row>
    <row r="437" spans="1:15" x14ac:dyDescent="0.3">
      <c r="A437" s="45">
        <v>4</v>
      </c>
      <c r="B437" s="47">
        <v>9</v>
      </c>
      <c r="C437" s="29">
        <v>1</v>
      </c>
      <c r="D437" s="28">
        <f>+ROUND((B431*B437*C437)/(C431*30),0)</f>
        <v>185900270</v>
      </c>
      <c r="G437" s="33"/>
      <c r="H437" s="32"/>
      <c r="I437" s="31"/>
      <c r="L437" s="31"/>
      <c r="M437" s="31"/>
      <c r="N437" s="32"/>
      <c r="O437" s="31"/>
    </row>
    <row r="438" spans="1:15" x14ac:dyDescent="0.3">
      <c r="A438" s="45">
        <v>5</v>
      </c>
      <c r="B438" s="47">
        <v>60</v>
      </c>
      <c r="C438" s="29">
        <v>1</v>
      </c>
      <c r="D438" s="28">
        <f>+ROUND((B432*B438*C438)/(C432*30),0)</f>
        <v>419885768</v>
      </c>
      <c r="G438" s="33"/>
      <c r="H438" s="32"/>
      <c r="I438" s="31"/>
      <c r="L438" s="31"/>
      <c r="M438" s="31"/>
      <c r="N438" s="32"/>
      <c r="O438" s="31"/>
    </row>
    <row r="439" spans="1:15" x14ac:dyDescent="0.3">
      <c r="C439" s="37" t="s">
        <v>40</v>
      </c>
      <c r="D439" s="50">
        <f>+SUM(D434:D438)</f>
        <v>665831773</v>
      </c>
      <c r="G439" s="31"/>
      <c r="H439" s="40"/>
      <c r="I439" s="51"/>
      <c r="L439" s="31"/>
      <c r="M439" s="31"/>
      <c r="N439" s="40"/>
      <c r="O439" s="51"/>
    </row>
  </sheetData>
  <mergeCells count="110">
    <mergeCell ref="A16:C16"/>
    <mergeCell ref="F16:H16"/>
    <mergeCell ref="K16:N16"/>
    <mergeCell ref="B23:C23"/>
    <mergeCell ref="G23:H23"/>
    <mergeCell ref="L23:N23"/>
    <mergeCell ref="A1:C1"/>
    <mergeCell ref="A2:C2"/>
    <mergeCell ref="A13:O13"/>
    <mergeCell ref="A15:D15"/>
    <mergeCell ref="F15:I15"/>
    <mergeCell ref="K15:O15"/>
    <mergeCell ref="A32:D32"/>
    <mergeCell ref="F32:I32"/>
    <mergeCell ref="K32:O32"/>
    <mergeCell ref="A40:O40"/>
    <mergeCell ref="A42:D42"/>
    <mergeCell ref="K42:O42"/>
    <mergeCell ref="B26:C26"/>
    <mergeCell ref="G26:H26"/>
    <mergeCell ref="L26:N26"/>
    <mergeCell ref="B29:C29"/>
    <mergeCell ref="G29:H29"/>
    <mergeCell ref="L29:N29"/>
    <mergeCell ref="Q57:R57"/>
    <mergeCell ref="A71:O71"/>
    <mergeCell ref="A73:D73"/>
    <mergeCell ref="A74:C74"/>
    <mergeCell ref="B79:C79"/>
    <mergeCell ref="B82:C82"/>
    <mergeCell ref="A43:C43"/>
    <mergeCell ref="K43:N43"/>
    <mergeCell ref="B48:C48"/>
    <mergeCell ref="B51:C51"/>
    <mergeCell ref="B54:C54"/>
    <mergeCell ref="A57:D57"/>
    <mergeCell ref="A103:C103"/>
    <mergeCell ref="F103:H103"/>
    <mergeCell ref="K103:N103"/>
    <mergeCell ref="B110:C110"/>
    <mergeCell ref="G110:H110"/>
    <mergeCell ref="L110:N110"/>
    <mergeCell ref="B85:C85"/>
    <mergeCell ref="A88:D88"/>
    <mergeCell ref="A100:O100"/>
    <mergeCell ref="A102:D102"/>
    <mergeCell ref="F102:I102"/>
    <mergeCell ref="K102:O102"/>
    <mergeCell ref="A119:D119"/>
    <mergeCell ref="F119:I119"/>
    <mergeCell ref="K119:O119"/>
    <mergeCell ref="Q119:R119"/>
    <mergeCell ref="A129:O129"/>
    <mergeCell ref="A131:D131"/>
    <mergeCell ref="K131:N131"/>
    <mergeCell ref="B113:C113"/>
    <mergeCell ref="G113:H113"/>
    <mergeCell ref="L113:N113"/>
    <mergeCell ref="B116:C116"/>
    <mergeCell ref="G116:H116"/>
    <mergeCell ref="L116:N116"/>
    <mergeCell ref="B143:C143"/>
    <mergeCell ref="L143:M143"/>
    <mergeCell ref="A146:D146"/>
    <mergeCell ref="K146:N146"/>
    <mergeCell ref="T146:W146"/>
    <mergeCell ref="A341:O341"/>
    <mergeCell ref="A132:C132"/>
    <mergeCell ref="K132:M132"/>
    <mergeCell ref="B137:C137"/>
    <mergeCell ref="L137:M137"/>
    <mergeCell ref="B140:C140"/>
    <mergeCell ref="L140:M140"/>
    <mergeCell ref="B370:C370"/>
    <mergeCell ref="G370:H370"/>
    <mergeCell ref="L370:N370"/>
    <mergeCell ref="B373:C373"/>
    <mergeCell ref="G373:H373"/>
    <mergeCell ref="L373:N373"/>
    <mergeCell ref="A343:D343"/>
    <mergeCell ref="F343:I343"/>
    <mergeCell ref="K343:O343"/>
    <mergeCell ref="A344:C344"/>
    <mergeCell ref="F344:H344"/>
    <mergeCell ref="K344:N344"/>
    <mergeCell ref="A406:O406"/>
    <mergeCell ref="A408:D408"/>
    <mergeCell ref="F408:I408"/>
    <mergeCell ref="K408:O408"/>
    <mergeCell ref="A409:C409"/>
    <mergeCell ref="F409:H409"/>
    <mergeCell ref="K409:N409"/>
    <mergeCell ref="B376:C376"/>
    <mergeCell ref="G376:H376"/>
    <mergeCell ref="L376:N376"/>
    <mergeCell ref="A379:D379"/>
    <mergeCell ref="F379:I379"/>
    <mergeCell ref="K379:O379"/>
    <mergeCell ref="B423:C423"/>
    <mergeCell ref="G423:H423"/>
    <mergeCell ref="L423:N423"/>
    <mergeCell ref="A426:D426"/>
    <mergeCell ref="F426:I426"/>
    <mergeCell ref="K426:O426"/>
    <mergeCell ref="B417:C417"/>
    <mergeCell ref="G417:H417"/>
    <mergeCell ref="L417:N417"/>
    <mergeCell ref="B420:C420"/>
    <mergeCell ref="G420:H420"/>
    <mergeCell ref="L420:N42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H13"/>
  <sheetViews>
    <sheetView workbookViewId="0">
      <selection activeCell="B4" sqref="B4"/>
    </sheetView>
  </sheetViews>
  <sheetFormatPr baseColWidth="10" defaultRowHeight="14.4" x14ac:dyDescent="0.3"/>
  <cols>
    <col min="2" max="2" width="15" customWidth="1"/>
    <col min="8" max="8" width="16.6640625" bestFit="1" customWidth="1"/>
    <col min="9" max="9" width="11.88671875" bestFit="1" customWidth="1"/>
  </cols>
  <sheetData>
    <row r="1" spans="1:8" ht="43.2" x14ac:dyDescent="0.3">
      <c r="A1" s="5" t="s">
        <v>1</v>
      </c>
      <c r="B1" s="6" t="s">
        <v>9</v>
      </c>
    </row>
    <row r="2" spans="1:8" x14ac:dyDescent="0.3">
      <c r="A2" s="4">
        <v>1</v>
      </c>
      <c r="B2" s="4" t="e">
        <f>+'EXPER. GENERAL'!#REF!/2</f>
        <v>#REF!</v>
      </c>
      <c r="H2" s="7"/>
    </row>
    <row r="3" spans="1:8" x14ac:dyDescent="0.3">
      <c r="A3" s="4">
        <v>2</v>
      </c>
      <c r="B3" s="4" t="e">
        <f>+'EXPER. GENERAL'!#REF!/3</f>
        <v>#REF!</v>
      </c>
    </row>
    <row r="4" spans="1:8" x14ac:dyDescent="0.3">
      <c r="A4" s="4">
        <v>3</v>
      </c>
      <c r="B4" s="4" t="e">
        <f>+'EXPER. GENERAL'!#REF!/1</f>
        <v>#REF!</v>
      </c>
    </row>
    <row r="5" spans="1:8" x14ac:dyDescent="0.3">
      <c r="A5" s="4">
        <v>4</v>
      </c>
      <c r="B5" s="4" t="e">
        <f>+'EXPER. GENERAL'!#REF!/6</f>
        <v>#REF!</v>
      </c>
    </row>
    <row r="6" spans="1:8" x14ac:dyDescent="0.3">
      <c r="A6" s="4">
        <v>5</v>
      </c>
      <c r="B6" s="4" t="e">
        <f>+'EXPER. GENERAL'!#REF!/5</f>
        <v>#REF!</v>
      </c>
    </row>
    <row r="7" spans="1:8" x14ac:dyDescent="0.3">
      <c r="A7" s="4">
        <v>6</v>
      </c>
      <c r="B7" s="4" t="e">
        <f>+'EXPER. GENERAL'!#REF!/3</f>
        <v>#REF!</v>
      </c>
    </row>
    <row r="8" spans="1:8" x14ac:dyDescent="0.3">
      <c r="A8" s="4">
        <v>7</v>
      </c>
      <c r="B8" s="4" t="e">
        <f>+'EXPER. GENERAL'!#REF!/4</f>
        <v>#REF!</v>
      </c>
    </row>
    <row r="9" spans="1:8" x14ac:dyDescent="0.3">
      <c r="A9" s="4">
        <v>8</v>
      </c>
      <c r="B9" s="4" t="e">
        <f>+'EXPER. GENERAL'!#REF!/1</f>
        <v>#REF!</v>
      </c>
    </row>
    <row r="10" spans="1:8" x14ac:dyDescent="0.3">
      <c r="A10" s="4">
        <v>9</v>
      </c>
      <c r="B10" s="4" t="e">
        <f>+'EXPER. GENERAL'!#REF!/4</f>
        <v>#REF!</v>
      </c>
    </row>
    <row r="11" spans="1:8" x14ac:dyDescent="0.3">
      <c r="A11" s="4">
        <v>10</v>
      </c>
      <c r="B11" s="4" t="e">
        <f>+'EXPER. GENERAL'!#REF!/6</f>
        <v>#REF!</v>
      </c>
    </row>
    <row r="12" spans="1:8" x14ac:dyDescent="0.3">
      <c r="B12" t="e">
        <f>+MEDIAN(B2:B11)</f>
        <v>#REF!</v>
      </c>
    </row>
    <row r="13" spans="1:8" x14ac:dyDescent="0.3">
      <c r="B13" t="e">
        <f>+(1-((ABS(B12-B2))/B12))*69</f>
        <v>#REF!</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opLeftCell="A25" workbookViewId="0">
      <selection activeCell="F37" sqref="F37"/>
    </sheetView>
  </sheetViews>
  <sheetFormatPr baseColWidth="10" defaultRowHeight="14.4" x14ac:dyDescent="0.3"/>
  <cols>
    <col min="1" max="1" width="17.44140625" bestFit="1" customWidth="1"/>
    <col min="2" max="2" width="10.5546875" customWidth="1"/>
    <col min="3" max="3" width="16.88671875" bestFit="1" customWidth="1"/>
    <col min="4" max="4" width="17.33203125" customWidth="1"/>
    <col min="5" max="5" width="20" customWidth="1"/>
    <col min="6" max="6" width="18.44140625" customWidth="1"/>
  </cols>
  <sheetData>
    <row r="1" spans="1:6" x14ac:dyDescent="0.3">
      <c r="A1" s="8" t="s">
        <v>10</v>
      </c>
      <c r="B1" s="8" t="s">
        <v>11</v>
      </c>
      <c r="C1" s="8" t="s">
        <v>12</v>
      </c>
      <c r="D1" s="9" t="s">
        <v>13</v>
      </c>
      <c r="E1" s="9" t="s">
        <v>14</v>
      </c>
      <c r="F1" s="9"/>
    </row>
    <row r="2" spans="1:6" x14ac:dyDescent="0.3">
      <c r="A2" s="10"/>
      <c r="B2" s="4">
        <v>1985</v>
      </c>
      <c r="C2" s="11">
        <v>13557.6</v>
      </c>
      <c r="D2" s="10">
        <f t="shared" ref="D2:D36" si="0">+A2/C2</f>
        <v>0</v>
      </c>
      <c r="E2" s="10">
        <f>+D2*$C$36</f>
        <v>0</v>
      </c>
      <c r="F2" s="10">
        <f>+E2/$C$36</f>
        <v>0</v>
      </c>
    </row>
    <row r="3" spans="1:6" x14ac:dyDescent="0.3">
      <c r="A3" s="10"/>
      <c r="B3" s="4">
        <f t="shared" ref="B3:B26" si="1">+B2+1</f>
        <v>1986</v>
      </c>
      <c r="C3" s="11">
        <v>16811.400000000001</v>
      </c>
      <c r="D3" s="10">
        <f t="shared" si="0"/>
        <v>0</v>
      </c>
      <c r="E3" s="10">
        <f t="shared" ref="E3:E36" si="2">+D3*$C$36</f>
        <v>0</v>
      </c>
      <c r="F3" s="10">
        <f t="shared" ref="F3:F36" si="3">+E3/$C$36</f>
        <v>0</v>
      </c>
    </row>
    <row r="4" spans="1:6" x14ac:dyDescent="0.3">
      <c r="A4" s="10"/>
      <c r="B4" s="4">
        <f t="shared" si="1"/>
        <v>1987</v>
      </c>
      <c r="C4" s="11">
        <v>20509.8</v>
      </c>
      <c r="D4" s="10">
        <f t="shared" si="0"/>
        <v>0</v>
      </c>
      <c r="E4" s="10">
        <f t="shared" si="2"/>
        <v>0</v>
      </c>
      <c r="F4" s="10">
        <f t="shared" si="3"/>
        <v>0</v>
      </c>
    </row>
    <row r="5" spans="1:6" x14ac:dyDescent="0.3">
      <c r="A5" s="10"/>
      <c r="B5" s="4">
        <f t="shared" si="1"/>
        <v>1988</v>
      </c>
      <c r="C5" s="11">
        <v>25637.4</v>
      </c>
      <c r="D5" s="10">
        <f t="shared" si="0"/>
        <v>0</v>
      </c>
      <c r="E5" s="10">
        <f t="shared" si="2"/>
        <v>0</v>
      </c>
      <c r="F5" s="10">
        <f t="shared" si="3"/>
        <v>0</v>
      </c>
    </row>
    <row r="6" spans="1:6" x14ac:dyDescent="0.3">
      <c r="A6" s="10"/>
      <c r="B6" s="4">
        <f t="shared" si="1"/>
        <v>1989</v>
      </c>
      <c r="C6" s="11">
        <v>32559.599999999999</v>
      </c>
      <c r="D6" s="10">
        <f t="shared" si="0"/>
        <v>0</v>
      </c>
      <c r="E6" s="10">
        <f t="shared" si="2"/>
        <v>0</v>
      </c>
      <c r="F6" s="10">
        <f t="shared" si="3"/>
        <v>0</v>
      </c>
    </row>
    <row r="7" spans="1:6" x14ac:dyDescent="0.3">
      <c r="A7" s="12"/>
      <c r="B7" s="4">
        <f t="shared" si="1"/>
        <v>1990</v>
      </c>
      <c r="C7" s="11">
        <v>41025</v>
      </c>
      <c r="D7" s="10">
        <f t="shared" si="0"/>
        <v>0</v>
      </c>
      <c r="E7" s="10">
        <f t="shared" si="2"/>
        <v>0</v>
      </c>
      <c r="F7" s="10">
        <f t="shared" si="3"/>
        <v>0</v>
      </c>
    </row>
    <row r="8" spans="1:6" x14ac:dyDescent="0.3">
      <c r="A8" s="10"/>
      <c r="B8" s="4">
        <f t="shared" si="1"/>
        <v>1991</v>
      </c>
      <c r="C8" s="11">
        <v>51720</v>
      </c>
      <c r="D8" s="10">
        <f t="shared" si="0"/>
        <v>0</v>
      </c>
      <c r="E8" s="10">
        <f t="shared" si="2"/>
        <v>0</v>
      </c>
      <c r="F8" s="10">
        <f t="shared" si="3"/>
        <v>0</v>
      </c>
    </row>
    <row r="9" spans="1:6" x14ac:dyDescent="0.3">
      <c r="A9" s="10"/>
      <c r="B9" s="4">
        <f t="shared" si="1"/>
        <v>1992</v>
      </c>
      <c r="C9" s="11">
        <v>65190</v>
      </c>
      <c r="D9" s="10">
        <f t="shared" si="0"/>
        <v>0</v>
      </c>
      <c r="E9" s="10">
        <f t="shared" si="2"/>
        <v>0</v>
      </c>
      <c r="F9" s="10">
        <f t="shared" si="3"/>
        <v>0</v>
      </c>
    </row>
    <row r="10" spans="1:6" x14ac:dyDescent="0.3">
      <c r="A10" s="10"/>
      <c r="B10" s="4">
        <f t="shared" si="1"/>
        <v>1993</v>
      </c>
      <c r="C10" s="11">
        <v>81510</v>
      </c>
      <c r="D10" s="10">
        <f t="shared" si="0"/>
        <v>0</v>
      </c>
      <c r="E10" s="10">
        <f t="shared" si="2"/>
        <v>0</v>
      </c>
      <c r="F10" s="10">
        <f t="shared" si="3"/>
        <v>0</v>
      </c>
    </row>
    <row r="11" spans="1:6" x14ac:dyDescent="0.3">
      <c r="A11" s="10"/>
      <c r="B11" s="4">
        <f t="shared" si="1"/>
        <v>1994</v>
      </c>
      <c r="C11" s="11">
        <v>98700</v>
      </c>
      <c r="D11" s="10">
        <f t="shared" si="0"/>
        <v>0</v>
      </c>
      <c r="E11" s="10">
        <f t="shared" si="2"/>
        <v>0</v>
      </c>
      <c r="F11" s="10">
        <f t="shared" si="3"/>
        <v>0</v>
      </c>
    </row>
    <row r="12" spans="1:6" x14ac:dyDescent="0.3">
      <c r="A12" s="10"/>
      <c r="B12" s="4">
        <f t="shared" si="1"/>
        <v>1995</v>
      </c>
      <c r="C12" s="11">
        <v>118933.5</v>
      </c>
      <c r="D12" s="10">
        <f t="shared" si="0"/>
        <v>0</v>
      </c>
      <c r="E12" s="10">
        <f t="shared" si="2"/>
        <v>0</v>
      </c>
      <c r="F12" s="10">
        <f t="shared" si="3"/>
        <v>0</v>
      </c>
    </row>
    <row r="13" spans="1:6" x14ac:dyDescent="0.3">
      <c r="A13" s="10"/>
      <c r="B13" s="4">
        <f t="shared" si="1"/>
        <v>1996</v>
      </c>
      <c r="C13" s="11">
        <v>142125</v>
      </c>
      <c r="D13" s="10">
        <f t="shared" si="0"/>
        <v>0</v>
      </c>
      <c r="E13" s="10">
        <f t="shared" si="2"/>
        <v>0</v>
      </c>
      <c r="F13" s="10">
        <f t="shared" si="3"/>
        <v>0</v>
      </c>
    </row>
    <row r="14" spans="1:6" x14ac:dyDescent="0.3">
      <c r="A14" s="10"/>
      <c r="B14" s="4">
        <f t="shared" si="1"/>
        <v>1997</v>
      </c>
      <c r="C14" s="11">
        <v>172005</v>
      </c>
      <c r="D14" s="10">
        <f t="shared" si="0"/>
        <v>0</v>
      </c>
      <c r="E14" s="10">
        <f t="shared" si="2"/>
        <v>0</v>
      </c>
      <c r="F14" s="10">
        <f t="shared" si="3"/>
        <v>0</v>
      </c>
    </row>
    <row r="15" spans="1:6" x14ac:dyDescent="0.3">
      <c r="A15" s="10"/>
      <c r="B15" s="4">
        <f t="shared" si="1"/>
        <v>1998</v>
      </c>
      <c r="C15" s="11">
        <v>203826</v>
      </c>
      <c r="D15" s="10">
        <f t="shared" si="0"/>
        <v>0</v>
      </c>
      <c r="E15" s="10">
        <f t="shared" si="2"/>
        <v>0</v>
      </c>
      <c r="F15" s="10">
        <f t="shared" si="3"/>
        <v>0</v>
      </c>
    </row>
    <row r="16" spans="1:6" x14ac:dyDescent="0.3">
      <c r="A16" s="10"/>
      <c r="B16" s="4">
        <f t="shared" si="1"/>
        <v>1999</v>
      </c>
      <c r="C16" s="11">
        <v>236460</v>
      </c>
      <c r="D16" s="10">
        <f t="shared" si="0"/>
        <v>0</v>
      </c>
      <c r="E16" s="10">
        <f t="shared" si="2"/>
        <v>0</v>
      </c>
      <c r="F16" s="10">
        <f t="shared" si="3"/>
        <v>0</v>
      </c>
    </row>
    <row r="17" spans="1:8" x14ac:dyDescent="0.3">
      <c r="A17" s="10"/>
      <c r="B17" s="4">
        <f t="shared" si="1"/>
        <v>2000</v>
      </c>
      <c r="C17" s="11">
        <v>260100</v>
      </c>
      <c r="D17" s="10">
        <f t="shared" si="0"/>
        <v>0</v>
      </c>
      <c r="E17" s="10">
        <f t="shared" si="2"/>
        <v>0</v>
      </c>
      <c r="F17" s="10">
        <f t="shared" si="3"/>
        <v>0</v>
      </c>
    </row>
    <row r="18" spans="1:8" x14ac:dyDescent="0.3">
      <c r="A18" s="10"/>
      <c r="B18" s="4">
        <f t="shared" si="1"/>
        <v>2001</v>
      </c>
      <c r="C18" s="11">
        <v>286000</v>
      </c>
      <c r="D18" s="10">
        <f t="shared" si="0"/>
        <v>0</v>
      </c>
      <c r="E18" s="10">
        <f t="shared" si="2"/>
        <v>0</v>
      </c>
      <c r="F18" s="10">
        <f t="shared" si="3"/>
        <v>0</v>
      </c>
    </row>
    <row r="19" spans="1:8" x14ac:dyDescent="0.3">
      <c r="A19" s="10"/>
      <c r="B19" s="4">
        <f t="shared" si="1"/>
        <v>2002</v>
      </c>
      <c r="C19" s="11">
        <v>309000</v>
      </c>
      <c r="D19" s="10">
        <f t="shared" si="0"/>
        <v>0</v>
      </c>
      <c r="E19" s="10">
        <f t="shared" si="2"/>
        <v>0</v>
      </c>
      <c r="F19" s="10">
        <f t="shared" si="3"/>
        <v>0</v>
      </c>
    </row>
    <row r="20" spans="1:8" x14ac:dyDescent="0.3">
      <c r="A20" s="10">
        <v>206751073</v>
      </c>
      <c r="B20" s="4">
        <f t="shared" si="1"/>
        <v>2003</v>
      </c>
      <c r="C20" s="11">
        <v>332000</v>
      </c>
      <c r="D20" s="10">
        <f t="shared" si="0"/>
        <v>622.74419578313257</v>
      </c>
      <c r="E20" s="10">
        <f t="shared" si="2"/>
        <v>515704432.4351446</v>
      </c>
      <c r="F20" s="10">
        <f t="shared" si="3"/>
        <v>622.74419578313257</v>
      </c>
    </row>
    <row r="21" spans="1:8" x14ac:dyDescent="0.3">
      <c r="A21" s="10"/>
      <c r="B21" s="4">
        <f t="shared" si="1"/>
        <v>2004</v>
      </c>
      <c r="C21" s="11">
        <v>358000</v>
      </c>
      <c r="D21" s="10">
        <f t="shared" si="0"/>
        <v>0</v>
      </c>
      <c r="E21" s="10">
        <f t="shared" si="2"/>
        <v>0</v>
      </c>
      <c r="F21" s="10">
        <f t="shared" si="3"/>
        <v>0</v>
      </c>
    </row>
    <row r="22" spans="1:8" x14ac:dyDescent="0.3">
      <c r="A22" s="10"/>
      <c r="B22" s="4">
        <f t="shared" si="1"/>
        <v>2005</v>
      </c>
      <c r="C22" s="11">
        <v>381500</v>
      </c>
      <c r="D22" s="10">
        <f t="shared" si="0"/>
        <v>0</v>
      </c>
      <c r="E22" s="10">
        <f t="shared" si="2"/>
        <v>0</v>
      </c>
      <c r="F22" s="10">
        <f t="shared" si="3"/>
        <v>0</v>
      </c>
    </row>
    <row r="23" spans="1:8" x14ac:dyDescent="0.3">
      <c r="A23" s="10"/>
      <c r="B23" s="4">
        <f t="shared" si="1"/>
        <v>2006</v>
      </c>
      <c r="C23" s="11">
        <v>408000</v>
      </c>
      <c r="D23" s="10">
        <f>+A23/C23</f>
        <v>0</v>
      </c>
      <c r="E23" s="10">
        <f t="shared" si="2"/>
        <v>0</v>
      </c>
      <c r="F23" s="10">
        <f t="shared" si="3"/>
        <v>0</v>
      </c>
    </row>
    <row r="24" spans="1:8" x14ac:dyDescent="0.3">
      <c r="A24" s="10"/>
      <c r="B24" s="4">
        <f t="shared" si="1"/>
        <v>2007</v>
      </c>
      <c r="C24" s="11">
        <v>433700</v>
      </c>
      <c r="D24" s="10">
        <f>+A24/C24</f>
        <v>0</v>
      </c>
      <c r="E24" s="10">
        <f t="shared" si="2"/>
        <v>0</v>
      </c>
      <c r="F24" s="10">
        <f t="shared" si="3"/>
        <v>0</v>
      </c>
    </row>
    <row r="25" spans="1:8" x14ac:dyDescent="0.3">
      <c r="A25" s="10"/>
      <c r="B25" s="4">
        <f t="shared" si="1"/>
        <v>2008</v>
      </c>
      <c r="C25" s="11">
        <v>461500</v>
      </c>
      <c r="D25" s="10">
        <f t="shared" si="0"/>
        <v>0</v>
      </c>
      <c r="E25" s="10">
        <f t="shared" si="2"/>
        <v>0</v>
      </c>
      <c r="F25" s="10">
        <f t="shared" si="3"/>
        <v>0</v>
      </c>
      <c r="H25">
        <f>5993.11*C25</f>
        <v>2765820265</v>
      </c>
    </row>
    <row r="26" spans="1:8" ht="14.25" customHeight="1" x14ac:dyDescent="0.3">
      <c r="A26" s="10"/>
      <c r="B26" s="4">
        <f t="shared" si="1"/>
        <v>2009</v>
      </c>
      <c r="C26" s="11">
        <v>496900</v>
      </c>
      <c r="D26" s="10">
        <f t="shared" si="0"/>
        <v>0</v>
      </c>
      <c r="E26" s="10">
        <f t="shared" si="2"/>
        <v>0</v>
      </c>
      <c r="F26" s="10">
        <f t="shared" si="3"/>
        <v>0</v>
      </c>
    </row>
    <row r="27" spans="1:8" ht="14.25" customHeight="1" x14ac:dyDescent="0.3">
      <c r="A27" s="10"/>
      <c r="B27" s="4">
        <v>2010</v>
      </c>
      <c r="C27" s="11">
        <v>515000</v>
      </c>
      <c r="D27" s="10">
        <f t="shared" si="0"/>
        <v>0</v>
      </c>
      <c r="E27" s="10">
        <f t="shared" si="2"/>
        <v>0</v>
      </c>
      <c r="F27" s="10">
        <f t="shared" si="3"/>
        <v>0</v>
      </c>
    </row>
    <row r="28" spans="1:8" ht="15.75" customHeight="1" x14ac:dyDescent="0.3">
      <c r="A28" s="10"/>
      <c r="B28" s="4">
        <v>2011</v>
      </c>
      <c r="C28" s="11">
        <v>535600</v>
      </c>
      <c r="D28" s="10">
        <f t="shared" si="0"/>
        <v>0</v>
      </c>
      <c r="E28" s="10">
        <f t="shared" si="2"/>
        <v>0</v>
      </c>
      <c r="F28" s="10">
        <f t="shared" si="3"/>
        <v>0</v>
      </c>
    </row>
    <row r="29" spans="1:8" ht="15.75" customHeight="1" x14ac:dyDescent="0.3">
      <c r="A29" s="10"/>
      <c r="B29" s="4">
        <v>2012</v>
      </c>
      <c r="C29" s="11">
        <v>566700</v>
      </c>
      <c r="D29" s="10">
        <f>+A29/C29</f>
        <v>0</v>
      </c>
      <c r="E29" s="10">
        <f>+D29*$C$36</f>
        <v>0</v>
      </c>
      <c r="F29" s="10">
        <f t="shared" si="3"/>
        <v>0</v>
      </c>
    </row>
    <row r="30" spans="1:8" ht="15.75" customHeight="1" x14ac:dyDescent="0.3">
      <c r="A30" s="10">
        <v>459289240</v>
      </c>
      <c r="B30" s="4">
        <v>2013</v>
      </c>
      <c r="C30" s="11">
        <v>589500</v>
      </c>
      <c r="D30" s="10">
        <f t="shared" si="0"/>
        <v>779.11660729431719</v>
      </c>
      <c r="E30" s="10">
        <f t="shared" si="2"/>
        <v>645198928.36614072</v>
      </c>
      <c r="F30" s="10">
        <f t="shared" si="3"/>
        <v>779.11660729431708</v>
      </c>
    </row>
    <row r="31" spans="1:8" ht="15.75" customHeight="1" x14ac:dyDescent="0.3">
      <c r="A31" s="10">
        <v>433408799</v>
      </c>
      <c r="B31" s="4">
        <v>2014</v>
      </c>
      <c r="C31" s="11">
        <v>616000</v>
      </c>
      <c r="D31" s="10">
        <f>+A31/C31</f>
        <v>703.58571266233764</v>
      </c>
      <c r="E31" s="10">
        <f>+D31*$C$36</f>
        <v>582650586.02708435</v>
      </c>
      <c r="F31" s="10">
        <f t="shared" si="3"/>
        <v>703.58571266233753</v>
      </c>
    </row>
    <row r="32" spans="1:8" ht="15.75" customHeight="1" x14ac:dyDescent="0.3">
      <c r="A32" s="10">
        <v>811160096</v>
      </c>
      <c r="B32" s="4">
        <v>2015</v>
      </c>
      <c r="C32" s="11">
        <v>644350</v>
      </c>
      <c r="D32" s="10">
        <f t="shared" si="0"/>
        <v>1258.8811918988129</v>
      </c>
      <c r="E32" s="10">
        <f t="shared" si="2"/>
        <v>1042499657.1104773</v>
      </c>
      <c r="F32" s="10">
        <f t="shared" si="3"/>
        <v>1258.8811918988129</v>
      </c>
    </row>
    <row r="33" spans="1:6" ht="15.75" customHeight="1" x14ac:dyDescent="0.3">
      <c r="A33" s="10"/>
      <c r="B33" s="4">
        <v>2016</v>
      </c>
      <c r="C33" s="11">
        <v>689455</v>
      </c>
      <c r="D33" s="10">
        <f t="shared" si="0"/>
        <v>0</v>
      </c>
      <c r="E33" s="10">
        <f t="shared" si="2"/>
        <v>0</v>
      </c>
      <c r="F33" s="10">
        <f t="shared" si="3"/>
        <v>0</v>
      </c>
    </row>
    <row r="34" spans="1:6" ht="15.75" customHeight="1" x14ac:dyDescent="0.3">
      <c r="A34" s="10">
        <v>730410621</v>
      </c>
      <c r="B34" s="4">
        <v>2017</v>
      </c>
      <c r="C34" s="11">
        <v>737717</v>
      </c>
      <c r="D34" s="10">
        <f t="shared" si="0"/>
        <v>990.09595956172893</v>
      </c>
      <c r="E34" s="10">
        <f t="shared" si="2"/>
        <v>819914305.64842069</v>
      </c>
      <c r="F34" s="10">
        <f t="shared" si="3"/>
        <v>990.09595956172893</v>
      </c>
    </row>
    <row r="35" spans="1:6" ht="15.75" customHeight="1" x14ac:dyDescent="0.3">
      <c r="A35" s="10">
        <v>345915409</v>
      </c>
      <c r="B35" s="4">
        <v>2018</v>
      </c>
      <c r="C35" s="11">
        <v>781242</v>
      </c>
      <c r="D35" s="10">
        <f t="shared" si="0"/>
        <v>442.77625754887731</v>
      </c>
      <c r="E35" s="10">
        <f t="shared" si="2"/>
        <v>366670103.29634607</v>
      </c>
      <c r="F35" s="10">
        <f t="shared" si="3"/>
        <v>442.77625754887731</v>
      </c>
    </row>
    <row r="36" spans="1:6" ht="16.5" customHeight="1" x14ac:dyDescent="0.3">
      <c r="A36" s="10"/>
      <c r="B36" s="4">
        <v>2019</v>
      </c>
      <c r="C36" s="11">
        <v>828116</v>
      </c>
      <c r="D36" s="10">
        <f t="shared" si="0"/>
        <v>0</v>
      </c>
      <c r="E36" s="10">
        <f t="shared" si="2"/>
        <v>0</v>
      </c>
      <c r="F36" s="10">
        <f t="shared" si="3"/>
        <v>0</v>
      </c>
    </row>
    <row r="37" spans="1:6" ht="16.5" customHeight="1" x14ac:dyDescent="0.3">
      <c r="A37" s="10"/>
      <c r="B37" s="4">
        <v>2020</v>
      </c>
      <c r="C37" s="11">
        <v>877803</v>
      </c>
      <c r="D37" s="10">
        <f t="shared" ref="D37" si="4">+A37/C37</f>
        <v>0</v>
      </c>
      <c r="E37" s="10">
        <f t="shared" ref="E37" si="5">+D37*$C$36</f>
        <v>0</v>
      </c>
      <c r="F37" s="10">
        <f t="shared" ref="F37" si="6">+E37/$C$36</f>
        <v>0</v>
      </c>
    </row>
    <row r="38" spans="1:6" x14ac:dyDescent="0.3">
      <c r="E38" s="13">
        <f>SUM(E2:E37)</f>
        <v>3972638012.8836141</v>
      </c>
    </row>
    <row r="39" spans="1:6" ht="18" x14ac:dyDescent="0.3">
      <c r="E39" s="14">
        <f>520475866</f>
        <v>520475866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EXPER. GENERAL</vt:lpstr>
      <vt:lpstr>PERSONAL</vt:lpstr>
      <vt:lpstr>CALIFICACION</vt:lpstr>
      <vt:lpstr>CALCULO E, CF, CT, SCE</vt:lpstr>
      <vt:lpstr>CALCULO MÉTODO PONDERACIÓN</vt:lpstr>
      <vt:lpstr>1</vt:lpstr>
      <vt:lpstr>CALIFICACION!Área_de_impresión</vt:lpstr>
      <vt:lpstr>'EXPER. GENERAL'!Área_de_impresión</vt:lpstr>
      <vt:lpstr>PERSONAL!Área_de_impresión</vt:lpstr>
      <vt:lpstr>CALIFICACION!Títulos_a_imprimir</vt:lpstr>
      <vt:lpstr>'EXPER. GENERAL'!Títulos_a_imprimir</vt:lpstr>
      <vt:lpstr>PERSONAL!Títulos_a_imprimir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luis.tobar</dc:creator>
  <cp:lastModifiedBy>andres leguizamo</cp:lastModifiedBy>
  <cp:lastPrinted>2023-06-04T18:17:47Z</cp:lastPrinted>
  <dcterms:created xsi:type="dcterms:W3CDTF">2016-05-18T19:50:54Z</dcterms:created>
  <dcterms:modified xsi:type="dcterms:W3CDTF">2024-03-29T04:47:26Z</dcterms:modified>
</cp:coreProperties>
</file>