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Bk1053823970\ARQ. VANESSA\OBRAS PÚBLICAS 2024\PROCESOS 2024\MC-008-2024 - MANTENIMIENTO COMUNA 7 - TESORITO Y 8 - PALOGRANDE\"/>
    </mc:Choice>
  </mc:AlternateContent>
  <xr:revisionPtr revIDLastSave="0" documentId="13_ncr:1_{61515C70-4C95-4A97-A321-4DEAD83EA25F}" xr6:coauthVersionLast="47" xr6:coauthVersionMax="47" xr10:uidLastSave="{00000000-0000-0000-0000-000000000000}"/>
  <bookViews>
    <workbookView xWindow="390" yWindow="390" windowWidth="15315" windowHeight="15570" firstSheet="1" activeTab="1" xr2:uid="{00000000-000D-0000-FFFF-FFFF00000000}"/>
  </bookViews>
  <sheets>
    <sheet name="PROPUESTA ECONOMICA" sheetId="7" state="hidden" r:id="rId1"/>
    <sheet name="PRESUPUESTO UNITARIO" sheetId="15" r:id="rId2"/>
    <sheet name="APU" sheetId="10" r:id="rId3"/>
    <sheet name="AIU"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2">#REF!</definedName>
    <definedName name="_APU221">#REF!</definedName>
    <definedName name="_APU465" localSheetId="2">[21]!absc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1" hidden="1">'PRESUPUESTO UNITARIO'!$G$11:$G$66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[6]AASHTO!$A$2:$F$5</definedName>
    <definedName name="absc1" localSheetId="2">[26]!absc</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[26]!absc</definedName>
    <definedName name="adoc1" localSheetId="1">[26]!absc</definedName>
    <definedName name="adoc1">[26]!absc</definedName>
    <definedName name="ADOC125" localSheetId="2">[26]!absc</definedName>
    <definedName name="ADOC125" localSheetId="1">[26]!absc</definedName>
    <definedName name="ADOC125">[26]!absc</definedName>
    <definedName name="adoq" localSheetId="2">[29]!absc</definedName>
    <definedName name="adoq" localSheetId="1">[29]!absc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[30]!absc</definedName>
    <definedName name="alc" localSheetId="1">[30]!absc</definedName>
    <definedName name="alc">[30]!absc</definedName>
    <definedName name="AlcanceProyecto" localSheetId="2">#REF!</definedName>
    <definedName name="AlcanceProyecto">#REF!</definedName>
    <definedName name="ALM" localSheetId="2">#REF!</definedName>
    <definedName name="ALM">#REF!</definedName>
    <definedName name="ALTO">[31]Tabla!$A$1:$A$5</definedName>
    <definedName name="Amount" localSheetId="2">#REF!</definedName>
    <definedName name="Amount">#REF!</definedName>
    <definedName name="ANCLAJE" localSheetId="2">'[32]MC SF GAVIONES'!#REF!</definedName>
    <definedName name="ANCLAJE">'[32]MC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[33]COMPARATIVO!#REF!</definedName>
    <definedName name="anexo7">[33]COMPARATIVO!#REF!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[37]!absc</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2">APU!$A$1:$J$279</definedName>
    <definedName name="_xlnm.Print_Area" localSheetId="1">'PRESUPUESTO UNITARIO'!$A$1:$K$78</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[41]Hoja1!$A$4:$BZ$55</definedName>
    <definedName name="_xlnm.Database" localSheetId="2">#REF!</definedName>
    <definedName name="_xlnm.Database">#REF!</definedName>
    <definedName name="BaseDeDatos1" localSheetId="2">#REF!</definedName>
    <definedName name="BaseDeDatos1">#REF!</definedName>
    <definedName name="basep">[42]PRESUPUESTAL!$A$4:$P$190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'[43]Ejecutado%'!#REF!</definedName>
    <definedName name="blEjecutado">'[43]Ejecutado%'!#REF!</definedName>
    <definedName name="blEjecutadoPorcen">'[43]Ejecutado$'!$D$1:$CE$45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'[43]Programado$'!$I$1:$CK$45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[44]steel!#REF!</definedName>
    <definedName name="BORDER1">[44]steel!#REF!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'[46]Form5 _Pág_ 1'!#REF!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'[50]A. P. U.'!#REF!</definedName>
    <definedName name="CCT" localSheetId="2">#REF!</definedName>
    <definedName name="CCT">#REF!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[53]Hoja1!$C$27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[33]COMPARATIVO!#REF!</definedName>
    <definedName name="cogvsiruj">[33]COMPARATIVO!#REF!</definedName>
    <definedName name="COLON" localSheetId="2">#REF!</definedName>
    <definedName name="COLON">#REF!</definedName>
    <definedName name="ColTap">'[20]Coloc. e Interc. Tapones'!$E$1:$E$65536</definedName>
    <definedName name="Com">'[39]LIQUIDA-NOMINA'!$AL$4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[55]BITACORA!$E$1:$E$65536</definedName>
    <definedName name="costo2" localSheetId="2" hidden="1">#REF!</definedName>
    <definedName name="costo2" hidden="1">#REF!</definedName>
    <definedName name="COSTODIRECTO" localSheetId="2">#REF!</definedName>
    <definedName name="COSTODIRECTO">#REF!</definedName>
    <definedName name="COSTOS">[56]TARIFAS!$A$1:$F$52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[57]civ_roma!$C$803:$G$804</definedName>
    <definedName name="Criterios_IM" localSheetId="2">'[3]7422CW00'!#REF!</definedName>
    <definedName name="Criterios_IM">'[3]7422CW00'!#REF!</definedName>
    <definedName name="Criticidad">[58]Tabla!$A$1:$A$5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AL">[0]!ERR</definedName>
    <definedName name="CUBS" localSheetId="2">#REF!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[49]!Customize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[57]civ_roma!$C$9:$G$799</definedName>
    <definedName name="DATO1">'[59]46'!$D$3:$CK$429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'[60]Pta a tierra'!#REF!</definedName>
    <definedName name="Dcorriente1">'[60]Pta a tierra'!#REF!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[44]steel!#REF!</definedName>
    <definedName name="DEST_ART">[44]steel!#REF!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[39]EMPRESA!$F$14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[64]CÁLCULOS!$H$34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[39]EMPRESA!$F$6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[67]Equipo!$A$7:$A$65536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'[39]LIQUIDA-NOMINA'!$AH$4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'[71]Itemes Renovación'!#REF!</definedName>
    <definedName name="FACTURADO">'[71]Itemes Renovación'!#REF!</definedName>
    <definedName name="FareWellStmnt" localSheetId="2">[49]!FareWellStmnt</definedName>
    <definedName name="FareWellStmnt" localSheetId="1">[49]!FareWellStmnt</definedName>
    <definedName name="FareWellStmnt">[49]!FareWellStmnt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[49]!FinePrint</definedName>
    <definedName name="FinePrint" localSheetId="1">[49]!FinePrint</definedName>
    <definedName name="FinePrint">[49]!FinePrint</definedName>
    <definedName name="FM">1.18</definedName>
    <definedName name="fnic">[53]Hoja1!$C$13</definedName>
    <definedName name="FO">1.32</definedName>
    <definedName name="FORDESCR" localSheetId="2">'[3]7422CW00'!#REF!</definedName>
    <definedName name="FORDESCR">'[3]7422CW00'!#REF!</definedName>
    <definedName name="FORM_C3">[74]Hoja1!$A$33:$N$51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'[73]7422CW00'!#REF!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[53]Datos!$D$8</definedName>
    <definedName name="hen">[53]Datos!$D$9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'[50]A. P. U.'!#REF!</definedName>
    <definedName name="IF">'[50]A.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'[76]1'!$N$41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#REF!</definedName>
    <definedName name="INPUT" localSheetId="2">'[3]7422CW00'!#REF!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[69]Hoja3!$F$7:$F$9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[49]!INV_Payments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[81]LISTADO!#REF!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[26]!absc</definedName>
    <definedName name="LOCA" localSheetId="1">[26]!absc</definedName>
    <definedName name="LOCA">[26]!absc</definedName>
    <definedName name="LOCA1" localSheetId="2">[37]!absc</definedName>
    <definedName name="LOCA1" localSheetId="1">[37]!absc</definedName>
    <definedName name="LOCA1">[37]!absc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'[36]Res-Accide-10'!#REF!</definedName>
    <definedName name="lun">'[36]Res-Accide-10'!#REF!</definedName>
    <definedName name="lv" localSheetId="2">#REF!</definedName>
    <definedName name="lv">#REF!</definedName>
    <definedName name="m" localSheetId="2">#REF!</definedName>
    <definedName name="m">#REF!</definedName>
    <definedName name="MA" localSheetId="2">'[36]Res-Accide-10'!#REF!</definedName>
    <definedName name="MA">'[36]Res-Accide-10'!#REF!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'[36]Res-Accide-10'!#REF!</definedName>
    <definedName name="MARCO_H" localSheetId="2">#REF!</definedName>
    <definedName name="MARCO_H">#REF!</definedName>
    <definedName name="marina" localSheetId="2">'[85]Informe Semanal 1'!#REF!</definedName>
    <definedName name="marina">'[85]Informe Semanal 1'!#REF!</definedName>
    <definedName name="masor" hidden="1">{"via1",#N/A,TRUE,"general";"via2",#N/A,TRUE,"general";"via3",#N/A,TRUE,"general"}</definedName>
    <definedName name="MAT" localSheetId="2">#REF!</definedName>
    <definedName name="MAT">#REF!</definedName>
    <definedName name="MATERIAL">'[86]TABLA MATERIALES'!$A$3:$D$654</definedName>
    <definedName name="materiales">[67]materiales!$A$7:$A$1317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[88]Tablas!$AO$6:$AO$7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[44]steel!#REF!</definedName>
    <definedName name="MRSUPDET">[44]steel!#REF!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ada" localSheetId="2">[49]!Nada</definedName>
    <definedName name="Nada" localSheetId="1">[49]!Nada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DATE(YEAR([90]!Loan_Start),MONTH([90]!Loan_Start)+Payment_Number,DAY([90]!Loan_Start))</definedName>
    <definedName name="obras11" localSheetId="2"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DATE(YEAR([91]!Loan_Start),MONTH([91]!Loan_Start)+Payment_Number,DAY([91]!Loan_Start))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hidden="1">[7]INST!#REF!</definedName>
    <definedName name="otros">[67]otros!$A$6:$A$1235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[55]Tablas!$A$1:$A$65536</definedName>
    <definedName name="Pay_Date" localSheetId="2">#REF!</definedName>
    <definedName name="Pay_Date">#REF!</definedName>
    <definedName name="Pay_Num" localSheetId="2">#REF!</definedName>
    <definedName name="Pay_Num">#REF!</definedName>
    <definedName name="Payment_Date" localSheetId="2">DATE(YEAR(APU!Loan_Start),MONTH(APU!Loan_Start)+Payment_Number,DAY(APU!Loan_Start))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[41]Hoja1!$C$1</definedName>
    <definedName name="PeriodoPago">'[39]LIQUIDA-NOMINA'!$C$4</definedName>
    <definedName name="PeriodoRepago" localSheetId="2">#REF!</definedName>
    <definedName name="PeriodoRepago">#REF!</definedName>
    <definedName name="PeriodoRepagoCCP" localSheetId="2">#REF!</definedName>
    <definedName name="PeriodoRepagoCCP">#REF!</definedName>
    <definedName name="phed">[53]Hoja1!$C$4</definedName>
    <definedName name="phen">[53]Hoja1!$C$5</definedName>
    <definedName name="Pindis" localSheetId="2">#REF!</definedName>
    <definedName name="Pindis">#REF!</definedName>
    <definedName name="pint" localSheetId="2">'[73]7422CW00'!#REF!</definedName>
    <definedName name="pint">'[73]7422CW00'!#REF!</definedName>
    <definedName name="pintura" localSheetId="2">'[73]7422CW00'!#REF!</definedName>
    <definedName name="pintura">'[73]7422CW00'!#REF!</definedName>
    <definedName name="pintyura" localSheetId="2">[92]STRSUMM0!#REF!</definedName>
    <definedName name="pintyura">[92]STRSUMM0!#REF!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[34]BASES!$E$27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 localSheetId="2">#REF!</definedName>
    <definedName name="Porcentaje">#REF!</definedName>
    <definedName name="PORCENTAJE1" localSheetId="2">#REF!</definedName>
    <definedName name="PORCENTAJE1">#REF!</definedName>
    <definedName name="PORTADA2" localSheetId="2">'[93]Hoja 1 '!#REF!</definedName>
    <definedName name="PORTADA2">'[93]Hoja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[45]medelo!$D$46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[34]BASES!$B$31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[94]!absc</definedName>
    <definedName name="PRUEBA" localSheetId="1">[94]!absc</definedName>
    <definedName name="PRUEBA">[94]!absc</definedName>
    <definedName name="prueba1" localSheetId="2">[94]!absc</definedName>
    <definedName name="prueba1" localSheetId="1">[94]!absc</definedName>
    <definedName name="prueba1">[94]!absc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#REF!</definedName>
    <definedName name="Q" localSheetId="2">#REF!</definedName>
    <definedName name="Q">#REF!</definedName>
    <definedName name="Q_actual">'[95]ORITO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#REF!</definedName>
    <definedName name="Qt">'[95]ORITO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'[89] ASR+Nafta'!$E$9:$E$21</definedName>
    <definedName name="Recall_3">'[89]Todos+Nafta'!$E$9:$E$21</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[9]!resu8</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[97]Ingenieria!#REF!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#REF!,#REF!,#REF!</definedName>
    <definedName name="rr">[0]!ERR</definedName>
    <definedName name="rrr" hidden="1">{"via1",#N/A,TRUE,"general";"via2",#N/A,TRUE,"general";"via3",#N/A,TRUE,"general"}</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[34]BASES!$E$41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[44]steel!#REF!</definedName>
    <definedName name="SHEET" localSheetId="2">'[3]7422CW00'!#REF!</definedName>
    <definedName name="SHEET">'[3]7422CW00'!#REF!</definedName>
    <definedName name="SHEET_KP">[44]steel!$C$7:$L$47</definedName>
    <definedName name="SHEET_MR">[44]steel!$C$7:$J$47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1" hidden="1">'PRESUPUESTO UNITARIO'!$I$68</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UNITARIO'!$I$74</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UNITARIO'!$I$74</definedName>
    <definedName name="solver_pre" localSheetId="1" hidden="1">0.000001</definedName>
    <definedName name="solver_rel1" localSheetId="1" hidden="1">2</definedName>
    <definedName name="solver_rhs1" localSheetId="1" hidden="1">'PRESUPUESTO UNITARIO'!$I$75</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'[99]PxQ Cantidades'!#REF!</definedName>
    <definedName name="Stock">'[99]PxQ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[51]Hoja1!$F$60</definedName>
    <definedName name="Summary" localSheetId="2">#REF!</definedName>
    <definedName name="Summary">#REF!</definedName>
    <definedName name="SUP_ART" localSheetId="2">[44]steel!#REF!</definedName>
    <definedName name="SUP_ART">[44]steel!#REF!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[55]Tablas!$H$1:$H$65536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 localSheetId="2">'[3]7422CW00'!#REF!</definedName>
    <definedName name="TABLEKP">'[3]7422CW00'!#REF!</definedName>
    <definedName name="TABLEPRI" localSheetId="2">#REF!</definedName>
    <definedName name="TABLEPRI">#REF!</definedName>
    <definedName name="tales" localSheetId="2">[1]LIQUIDACION!#REF!</definedName>
    <definedName name="tales">[1]LIQUIDACION!#REF!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[35]BASES!$E$27</definedName>
    <definedName name="TIPO" localSheetId="2">#REF!</definedName>
    <definedName name="TIPO">#REF!</definedName>
    <definedName name="TIPO_GRUPO" localSheetId="2">#REF!</definedName>
    <definedName name="TIPO_GRUPO">#REF!</definedName>
    <definedName name="TipoGC">[88]Tablas!$U$6:$U$15</definedName>
    <definedName name="TipoNeces">[88]Tablas!$Q$6:$Q$8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1">'PRESUPUESTO UNITARIO'!$10:$12</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'[39]NOMINA 1'!$N$38</definedName>
    <definedName name="TOTALHH" localSheetId="2">#REF!</definedName>
    <definedName name="TOTALHH">#REF!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[103]desmonte!$E$48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'[105]Lista APU'!$A$3:$D$479</definedName>
    <definedName name="UNITARIO">[106]Unitarios!$A$3:$D$13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IF(APU!Loan_Amount*APU!Interest_Rate*APU!Loan_Years*APU!Loan_Start&gt;0,1,0)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'[73]7422CW00'!#REF!</definedName>
    <definedName name="vfh">'[73]7422CW00'!#REF!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[88]Tablas!$A$6:$A$26</definedName>
    <definedName name="VigenciaDolares" localSheetId="2">#REF!</definedName>
    <definedName name="VigenciaDolares">#REF!</definedName>
    <definedName name="VigenciaPesos" localSheetId="2">#REF!</definedName>
    <definedName name="VigenciaPesos">#REF!</definedName>
    <definedName name="VIGFUTURA">[88]Tablas!$J$6:$J$8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'[108]2004'!#REF!</definedName>
    <definedName name="WBS">'[108]2004'!#REF!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2">#REF!</definedName>
    <definedName name="wedw">#REF!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X" localSheetId="2" hidden="1">#REF!</definedName>
    <definedName name="XXXX" hidden="1">#REF!</definedName>
    <definedName name="xxxxx" localSheetId="2">[109]!absc</definedName>
    <definedName name="xxxxx" localSheetId="1">[109]!absc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[26]!absc</definedName>
    <definedName name="Y" localSheetId="1">[26]!absc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2" i="10" l="1"/>
  <c r="H132" i="10"/>
  <c r="M70" i="15"/>
  <c r="I53" i="10" l="1"/>
  <c r="J53" i="10" s="1"/>
  <c r="H21" i="15" s="1"/>
  <c r="I21" i="15" s="1"/>
  <c r="I47" i="10"/>
  <c r="J47" i="10" s="1"/>
  <c r="H20" i="15" s="1"/>
  <c r="I20" i="15" s="1"/>
  <c r="I251" i="10"/>
  <c r="J251" i="10" s="1"/>
  <c r="H58" i="15" s="1"/>
  <c r="I58" i="15" s="1"/>
  <c r="I247" i="10"/>
  <c r="J247" i="10" s="1"/>
  <c r="H57" i="15" s="1"/>
  <c r="I57" i="15" s="1"/>
  <c r="I241" i="10"/>
  <c r="J241" i="10" s="1"/>
  <c r="H56" i="15" s="1"/>
  <c r="I56" i="15" s="1"/>
  <c r="I234" i="10"/>
  <c r="J234" i="10" s="1"/>
  <c r="H55" i="15" s="1"/>
  <c r="I55" i="15" s="1"/>
  <c r="E3" i="13"/>
  <c r="F64" i="15"/>
  <c r="E64" i="15"/>
  <c r="D64" i="15"/>
  <c r="F63" i="15"/>
  <c r="E63" i="15"/>
  <c r="D63" i="15"/>
  <c r="F62" i="15"/>
  <c r="E62" i="15"/>
  <c r="D62" i="15"/>
  <c r="F61" i="15"/>
  <c r="E61" i="15"/>
  <c r="D61" i="15"/>
  <c r="F60" i="15"/>
  <c r="E60" i="15"/>
  <c r="D60" i="15"/>
  <c r="F59" i="15"/>
  <c r="E59" i="15"/>
  <c r="D59" i="15"/>
  <c r="F54" i="15"/>
  <c r="E54" i="15"/>
  <c r="D54" i="15"/>
  <c r="F53" i="15"/>
  <c r="E53" i="15"/>
  <c r="D53" i="15"/>
  <c r="F52" i="15"/>
  <c r="E52" i="15"/>
  <c r="D52" i="15"/>
  <c r="F49" i="15"/>
  <c r="E49" i="15"/>
  <c r="D49" i="15"/>
  <c r="F48" i="15"/>
  <c r="E48" i="15"/>
  <c r="D48" i="15"/>
  <c r="F47" i="15"/>
  <c r="E47" i="15"/>
  <c r="D47" i="15"/>
  <c r="F44" i="15"/>
  <c r="E44" i="15"/>
  <c r="D44" i="15"/>
  <c r="F43" i="15"/>
  <c r="E43" i="15"/>
  <c r="D43" i="15"/>
  <c r="F42" i="15"/>
  <c r="E42" i="15"/>
  <c r="D42" i="15"/>
  <c r="F39" i="15"/>
  <c r="E39" i="15"/>
  <c r="D39" i="15"/>
  <c r="F38" i="15"/>
  <c r="E38" i="15"/>
  <c r="D38" i="15"/>
  <c r="F37" i="15"/>
  <c r="E37" i="15"/>
  <c r="D37" i="15"/>
  <c r="F34" i="15"/>
  <c r="E34" i="15"/>
  <c r="D34" i="15"/>
  <c r="F33" i="15"/>
  <c r="E33" i="15"/>
  <c r="D33" i="15"/>
  <c r="F32" i="15"/>
  <c r="E32" i="15"/>
  <c r="D32" i="15"/>
  <c r="F31" i="15"/>
  <c r="E31" i="15"/>
  <c r="D31" i="15"/>
  <c r="F30" i="15"/>
  <c r="E30" i="15"/>
  <c r="D30" i="15"/>
  <c r="F27" i="15"/>
  <c r="E27" i="15"/>
  <c r="D27" i="15"/>
  <c r="F26" i="15"/>
  <c r="E26" i="15"/>
  <c r="D26" i="15"/>
  <c r="F23" i="15"/>
  <c r="E23" i="15"/>
  <c r="D23" i="15"/>
  <c r="F22" i="15"/>
  <c r="E22" i="15"/>
  <c r="D22" i="15"/>
  <c r="F19" i="15"/>
  <c r="E19" i="15"/>
  <c r="D19" i="15"/>
  <c r="F18" i="15"/>
  <c r="E18" i="15"/>
  <c r="D18" i="15"/>
  <c r="F17" i="15"/>
  <c r="E17" i="15"/>
  <c r="D17" i="15"/>
  <c r="F16" i="15"/>
  <c r="E16" i="15"/>
  <c r="D16" i="15"/>
  <c r="F15" i="15"/>
  <c r="E15" i="15"/>
  <c r="D15" i="15"/>
  <c r="F14" i="15"/>
  <c r="E14" i="15"/>
  <c r="D14" i="15"/>
  <c r="G56" i="10"/>
  <c r="H56" i="10" s="1"/>
  <c r="G55" i="10"/>
  <c r="H55" i="10" s="1"/>
  <c r="G54" i="10"/>
  <c r="H54" i="10" s="1"/>
  <c r="G51" i="10"/>
  <c r="H51" i="10" s="1"/>
  <c r="G50" i="10"/>
  <c r="H50" i="10" s="1"/>
  <c r="G49" i="10"/>
  <c r="H49" i="10" s="1"/>
  <c r="G48" i="10"/>
  <c r="H48" i="10" s="1"/>
  <c r="G257" i="10"/>
  <c r="H257" i="10" s="1"/>
  <c r="G256" i="10"/>
  <c r="H256" i="10" s="1"/>
  <c r="G255" i="10"/>
  <c r="H255" i="10" s="1"/>
  <c r="G254" i="10"/>
  <c r="H254" i="10" s="1"/>
  <c r="G253" i="10"/>
  <c r="H253" i="10" s="1"/>
  <c r="G252" i="10"/>
  <c r="H252" i="10" s="1"/>
  <c r="G249" i="10"/>
  <c r="H249" i="10" s="1"/>
  <c r="G248" i="10"/>
  <c r="H248" i="10" s="1"/>
  <c r="G245" i="10"/>
  <c r="H245" i="10" s="1"/>
  <c r="G244" i="10"/>
  <c r="H244" i="10" s="1"/>
  <c r="G243" i="10"/>
  <c r="H243" i="10" s="1"/>
  <c r="G242" i="10"/>
  <c r="H242" i="10" s="1"/>
  <c r="G239" i="10"/>
  <c r="H239" i="10" s="1"/>
  <c r="G238" i="10"/>
  <c r="H238" i="10" s="1"/>
  <c r="G237" i="10"/>
  <c r="H237" i="10" s="1"/>
  <c r="G236" i="10"/>
  <c r="H236" i="10" s="1"/>
  <c r="G235" i="10"/>
  <c r="H235" i="10" s="1"/>
  <c r="H85" i="10"/>
  <c r="G81" i="10"/>
  <c r="H81" i="10" s="1"/>
  <c r="H84" i="10"/>
  <c r="H83" i="10"/>
  <c r="G43" i="13" l="1"/>
  <c r="I100" i="10" l="1"/>
  <c r="H102" i="10"/>
  <c r="H103" i="10"/>
  <c r="H104" i="10"/>
  <c r="H105" i="10"/>
  <c r="H106" i="10"/>
  <c r="H107" i="10"/>
  <c r="H108" i="10"/>
  <c r="H109" i="10"/>
  <c r="H110" i="10"/>
  <c r="H111" i="10"/>
  <c r="H101" i="10"/>
  <c r="H40" i="10"/>
  <c r="H25" i="10"/>
  <c r="A1" i="10"/>
  <c r="H264" i="10"/>
  <c r="H33" i="10"/>
  <c r="H18" i="10"/>
  <c r="I227" i="10"/>
  <c r="H232" i="10"/>
  <c r="H231" i="10"/>
  <c r="H230" i="10"/>
  <c r="H229" i="10"/>
  <c r="H228" i="10"/>
  <c r="I212" i="10"/>
  <c r="H220" i="10"/>
  <c r="H219" i="10"/>
  <c r="H218" i="10"/>
  <c r="H217" i="10"/>
  <c r="H216" i="10"/>
  <c r="H215" i="10"/>
  <c r="H214" i="10"/>
  <c r="H213" i="10"/>
  <c r="H100" i="10" l="1"/>
  <c r="J100" i="10" s="1"/>
  <c r="H31" i="15" s="1"/>
  <c r="I31" i="15" s="1"/>
  <c r="H212" i="10"/>
  <c r="J212" i="10" s="1"/>
  <c r="H52" i="15" s="1"/>
  <c r="I52" i="15" s="1"/>
  <c r="H227" i="10"/>
  <c r="J227" i="10" s="1"/>
  <c r="H54" i="15" s="1"/>
  <c r="I54" i="15" s="1"/>
  <c r="H138" i="10"/>
  <c r="F137" i="10"/>
  <c r="H137" i="10" s="1"/>
  <c r="I78" i="10" l="1"/>
  <c r="H82" i="10"/>
  <c r="H80" i="10"/>
  <c r="H79" i="10"/>
  <c r="G44" i="10"/>
  <c r="H44" i="10" s="1"/>
  <c r="G60" i="10"/>
  <c r="H78" i="10" l="1"/>
  <c r="J78" i="10" l="1"/>
  <c r="H27" i="15" s="1"/>
  <c r="I27" i="15" s="1"/>
  <c r="I278" i="10"/>
  <c r="I275" i="10"/>
  <c r="I272" i="10"/>
  <c r="I269" i="10"/>
  <c r="I266" i="10"/>
  <c r="I259" i="10"/>
  <c r="I222" i="10"/>
  <c r="I205" i="10"/>
  <c r="I199" i="10"/>
  <c r="I187" i="10"/>
  <c r="I194" i="10"/>
  <c r="I181" i="10"/>
  <c r="I175" i="10"/>
  <c r="I163" i="10"/>
  <c r="I154" i="10"/>
  <c r="I144" i="10"/>
  <c r="I134" i="10"/>
  <c r="I122" i="10"/>
  <c r="I113" i="10"/>
  <c r="I87" i="10"/>
  <c r="I71" i="10"/>
  <c r="I63" i="10"/>
  <c r="I58" i="10"/>
  <c r="I42" i="10"/>
  <c r="I35" i="10"/>
  <c r="I27" i="10"/>
  <c r="I20" i="10"/>
  <c r="I12" i="10"/>
  <c r="I6" i="10"/>
  <c r="K47" i="13"/>
  <c r="G45" i="13"/>
  <c r="G44" i="13"/>
  <c r="G42" i="13"/>
  <c r="G41" i="13"/>
  <c r="G40" i="13"/>
  <c r="G39" i="13"/>
  <c r="G38" i="13"/>
  <c r="H35" i="13"/>
  <c r="H34" i="13"/>
  <c r="G31" i="13"/>
  <c r="G30" i="13"/>
  <c r="G29" i="13"/>
  <c r="G28" i="13"/>
  <c r="H21" i="13"/>
  <c r="H20" i="13"/>
  <c r="H19" i="13"/>
  <c r="H17" i="13"/>
  <c r="H16" i="13"/>
  <c r="H15" i="13"/>
  <c r="H14" i="13"/>
  <c r="H13" i="13"/>
  <c r="H12" i="13"/>
  <c r="H11" i="13"/>
  <c r="E5" i="13"/>
  <c r="J35" i="13" l="1"/>
  <c r="F41" i="13"/>
  <c r="H41" i="13" s="1"/>
  <c r="J41" i="13" s="1"/>
  <c r="F43" i="13"/>
  <c r="H43" i="13" s="1"/>
  <c r="J43" i="13" s="1"/>
  <c r="J19" i="13"/>
  <c r="F29" i="13"/>
  <c r="H29" i="13" s="1"/>
  <c r="J29" i="13" s="1"/>
  <c r="F42" i="13"/>
  <c r="H42" i="13" s="1"/>
  <c r="J42" i="13" s="1"/>
  <c r="F28" i="13"/>
  <c r="H28" i="13" s="1"/>
  <c r="J28" i="13" s="1"/>
  <c r="F38" i="13"/>
  <c r="H38" i="13" s="1"/>
  <c r="J38" i="13" s="1"/>
  <c r="J16" i="13"/>
  <c r="J17" i="13"/>
  <c r="J20" i="13"/>
  <c r="F39" i="13"/>
  <c r="H39" i="13" s="1"/>
  <c r="J39" i="13" s="1"/>
  <c r="F44" i="13"/>
  <c r="H44" i="13" s="1"/>
  <c r="J44" i="13" s="1"/>
  <c r="J21" i="13"/>
  <c r="F30" i="13"/>
  <c r="H30" i="13" s="1"/>
  <c r="J30" i="13" s="1"/>
  <c r="J12" i="13"/>
  <c r="J13" i="13"/>
  <c r="J22" i="13"/>
  <c r="F40" i="13"/>
  <c r="H40" i="13" s="1"/>
  <c r="J40" i="13" s="1"/>
  <c r="F45" i="13"/>
  <c r="H45" i="13" s="1"/>
  <c r="J45" i="13" s="1"/>
  <c r="J14" i="13"/>
  <c r="J15" i="13"/>
  <c r="J34" i="13"/>
  <c r="H31" i="13"/>
  <c r="J31" i="13" s="1"/>
  <c r="I10" i="13"/>
  <c r="J10" i="13" s="1"/>
  <c r="J9" i="13" s="1"/>
  <c r="J11" i="13"/>
  <c r="I33" i="13"/>
  <c r="J33" i="13" s="1"/>
  <c r="K33" i="13" l="1"/>
  <c r="K10" i="13"/>
  <c r="K37" i="13"/>
  <c r="K27" i="13"/>
  <c r="I27" i="13"/>
  <c r="J27" i="13" s="1"/>
  <c r="I37" i="13"/>
  <c r="J37" i="13" s="1"/>
  <c r="J23" i="13" l="1"/>
  <c r="K46" i="13" s="1"/>
  <c r="K48" i="13" s="1"/>
  <c r="I46" i="13"/>
  <c r="K23" i="13"/>
  <c r="J46" i="13" l="1"/>
  <c r="I73" i="15" s="1"/>
  <c r="I76" i="15" s="1"/>
  <c r="J48" i="13" l="1"/>
  <c r="L70" i="15" s="1"/>
  <c r="H279" i="10"/>
  <c r="H278" i="10" s="1"/>
  <c r="H276" i="10"/>
  <c r="H275" i="10" s="1"/>
  <c r="H273" i="10"/>
  <c r="H270" i="10"/>
  <c r="H269" i="10" s="1"/>
  <c r="H267" i="10"/>
  <c r="H266" i="10" s="1"/>
  <c r="J266" i="10" s="1"/>
  <c r="H60" i="15" s="1"/>
  <c r="I60" i="15" s="1"/>
  <c r="H263" i="10"/>
  <c r="H262" i="10"/>
  <c r="H261" i="10"/>
  <c r="H260" i="10"/>
  <c r="H225" i="10"/>
  <c r="H224" i="10"/>
  <c r="H223" i="10"/>
  <c r="H210" i="10"/>
  <c r="H209" i="10"/>
  <c r="H208" i="10"/>
  <c r="H207" i="10"/>
  <c r="H206" i="10"/>
  <c r="H205" i="10" l="1"/>
  <c r="J205" i="10" s="1"/>
  <c r="H49" i="15" s="1"/>
  <c r="I49" i="15" s="1"/>
  <c r="J275" i="10"/>
  <c r="H63" i="15" s="1"/>
  <c r="I63" i="15" s="1"/>
  <c r="J278" i="10"/>
  <c r="H64" i="15" s="1"/>
  <c r="I64" i="15" s="1"/>
  <c r="H259" i="10"/>
  <c r="J259" i="10" s="1"/>
  <c r="H59" i="15" s="1"/>
  <c r="I59" i="15" s="1"/>
  <c r="J269" i="10"/>
  <c r="H61" i="15" s="1"/>
  <c r="I61" i="15" s="1"/>
  <c r="H222" i="10"/>
  <c r="J222" i="10" s="1"/>
  <c r="H53" i="15" s="1"/>
  <c r="I53" i="15" s="1"/>
  <c r="J272" i="10" l="1"/>
  <c r="H62" i="15" s="1"/>
  <c r="I62" i="15" s="1"/>
  <c r="I65" i="15" s="1"/>
  <c r="H203" i="10" l="1"/>
  <c r="H202" i="10"/>
  <c r="H201" i="10"/>
  <c r="H200" i="10"/>
  <c r="H197" i="10"/>
  <c r="H196" i="10"/>
  <c r="H195" i="10"/>
  <c r="H192" i="10"/>
  <c r="H191" i="10"/>
  <c r="H190" i="10"/>
  <c r="H189" i="10"/>
  <c r="H188" i="10"/>
  <c r="H179" i="10"/>
  <c r="H178" i="10"/>
  <c r="H177" i="10"/>
  <c r="H176" i="10"/>
  <c r="H173" i="10"/>
  <c r="H172" i="10"/>
  <c r="H171" i="10"/>
  <c r="H170" i="10"/>
  <c r="H169" i="10"/>
  <c r="H168" i="10"/>
  <c r="H167" i="10"/>
  <c r="H166" i="10"/>
  <c r="H165" i="10"/>
  <c r="H164" i="10"/>
  <c r="H161" i="10"/>
  <c r="H160" i="10"/>
  <c r="H159" i="10"/>
  <c r="H158" i="10"/>
  <c r="H157" i="10"/>
  <c r="H156" i="10"/>
  <c r="H155" i="10"/>
  <c r="H152" i="10"/>
  <c r="H151" i="10"/>
  <c r="H150" i="10"/>
  <c r="H149" i="10"/>
  <c r="H148" i="10"/>
  <c r="H147" i="10"/>
  <c r="H146" i="10"/>
  <c r="H145" i="10"/>
  <c r="H185" i="10"/>
  <c r="H184" i="10"/>
  <c r="H183" i="10"/>
  <c r="H182" i="10"/>
  <c r="H141" i="10"/>
  <c r="H140" i="10"/>
  <c r="H139" i="10"/>
  <c r="H136" i="10"/>
  <c r="H135" i="10"/>
  <c r="H131" i="10"/>
  <c r="H130" i="10"/>
  <c r="H129" i="10"/>
  <c r="H128" i="10"/>
  <c r="H127" i="10"/>
  <c r="H126" i="10"/>
  <c r="H125" i="10"/>
  <c r="H124" i="10"/>
  <c r="H123" i="10"/>
  <c r="H120" i="10"/>
  <c r="H119" i="10"/>
  <c r="H118" i="10"/>
  <c r="H117" i="10"/>
  <c r="H116" i="10"/>
  <c r="H115" i="10"/>
  <c r="H114" i="10"/>
  <c r="H98" i="10"/>
  <c r="H97" i="10"/>
  <c r="H96" i="10"/>
  <c r="H95" i="10"/>
  <c r="H94" i="10"/>
  <c r="H93" i="10"/>
  <c r="H92" i="10"/>
  <c r="H91" i="10"/>
  <c r="H90" i="10"/>
  <c r="H89" i="10"/>
  <c r="H88" i="10"/>
  <c r="H76" i="10"/>
  <c r="H75" i="10"/>
  <c r="H74" i="10"/>
  <c r="H73" i="10"/>
  <c r="H72" i="10"/>
  <c r="H69" i="10"/>
  <c r="H68" i="10"/>
  <c r="H67" i="10"/>
  <c r="H66" i="10"/>
  <c r="H65" i="10"/>
  <c r="H64" i="10"/>
  <c r="H61" i="10"/>
  <c r="H60" i="10"/>
  <c r="H59" i="10"/>
  <c r="H45" i="10"/>
  <c r="H43" i="10"/>
  <c r="H39" i="10"/>
  <c r="H38" i="10"/>
  <c r="H37" i="10"/>
  <c r="H36" i="10"/>
  <c r="H32" i="10"/>
  <c r="H31" i="10"/>
  <c r="H30" i="10"/>
  <c r="H29" i="10"/>
  <c r="H28" i="10"/>
  <c r="H24" i="10"/>
  <c r="H23" i="10"/>
  <c r="H22" i="10"/>
  <c r="H21" i="10"/>
  <c r="H17" i="10"/>
  <c r="H16" i="10"/>
  <c r="H15" i="10"/>
  <c r="H14" i="10"/>
  <c r="H13" i="10"/>
  <c r="H10" i="10"/>
  <c r="H9" i="10"/>
  <c r="H8" i="10"/>
  <c r="H7" i="10"/>
  <c r="H175" i="10" l="1"/>
  <c r="J175" i="10" s="1"/>
  <c r="H42" i="15" s="1"/>
  <c r="I42" i="15" s="1"/>
  <c r="H35" i="10"/>
  <c r="J35" i="10" s="1"/>
  <c r="H18" i="15" s="1"/>
  <c r="I18" i="15" s="1"/>
  <c r="H12" i="10"/>
  <c r="J12" i="10" s="1"/>
  <c r="H15" i="15" s="1"/>
  <c r="I15" i="15" s="1"/>
  <c r="H187" i="10"/>
  <c r="J187" i="10" s="1"/>
  <c r="H44" i="15" s="1"/>
  <c r="I44" i="15" s="1"/>
  <c r="H144" i="10"/>
  <c r="J144" i="10" s="1"/>
  <c r="H37" i="15" s="1"/>
  <c r="I37" i="15" s="1"/>
  <c r="H27" i="10"/>
  <c r="J27" i="10" s="1"/>
  <c r="H17" i="15" s="1"/>
  <c r="I17" i="15" s="1"/>
  <c r="H20" i="10"/>
  <c r="J20" i="10" s="1"/>
  <c r="H16" i="15" s="1"/>
  <c r="I16" i="15" s="1"/>
  <c r="H199" i="10"/>
  <c r="J199" i="10" s="1"/>
  <c r="H48" i="15" s="1"/>
  <c r="I48" i="15" s="1"/>
  <c r="H181" i="10"/>
  <c r="J181" i="10" s="1"/>
  <c r="H43" i="15" s="1"/>
  <c r="I43" i="15" s="1"/>
  <c r="H154" i="10"/>
  <c r="J154" i="10" s="1"/>
  <c r="H38" i="15" s="1"/>
  <c r="I38" i="15" s="1"/>
  <c r="H163" i="10"/>
  <c r="J163" i="10" s="1"/>
  <c r="H39" i="15" s="1"/>
  <c r="I39" i="15" s="1"/>
  <c r="H194" i="10"/>
  <c r="J194" i="10" s="1"/>
  <c r="H47" i="15" s="1"/>
  <c r="I47" i="15" s="1"/>
  <c r="H134" i="10"/>
  <c r="H122" i="10"/>
  <c r="H71" i="10"/>
  <c r="H113" i="10"/>
  <c r="H42" i="10"/>
  <c r="H58" i="10"/>
  <c r="H63" i="10"/>
  <c r="H87" i="10"/>
  <c r="H6" i="10"/>
  <c r="I45" i="15" l="1"/>
  <c r="I40" i="15"/>
  <c r="I50" i="15"/>
  <c r="J58" i="10"/>
  <c r="H22" i="15" s="1"/>
  <c r="I22" i="15" s="1"/>
  <c r="J42" i="10"/>
  <c r="H19" i="15" s="1"/>
  <c r="I19" i="15" s="1"/>
  <c r="J6" i="10"/>
  <c r="H14" i="15" s="1"/>
  <c r="I14" i="15" s="1"/>
  <c r="J63" i="10"/>
  <c r="H23" i="15" s="1"/>
  <c r="I23" i="15" s="1"/>
  <c r="J113" i="10"/>
  <c r="H32" i="15" s="1"/>
  <c r="I32" i="15" s="1"/>
  <c r="J122" i="10"/>
  <c r="H33" i="15" s="1"/>
  <c r="I33" i="15" s="1"/>
  <c r="J87" i="10"/>
  <c r="H30" i="15" s="1"/>
  <c r="I30" i="15" s="1"/>
  <c r="J134" i="10"/>
  <c r="H34" i="15" s="1"/>
  <c r="I34" i="15" s="1"/>
  <c r="J71" i="10"/>
  <c r="H26" i="15" s="1"/>
  <c r="I26" i="15" s="1"/>
  <c r="I28" i="15" s="1"/>
  <c r="I24" i="15" l="1"/>
  <c r="I35" i="15"/>
  <c r="B11" i="7"/>
  <c r="I66" i="15" l="1"/>
  <c r="I69" i="15" s="1"/>
  <c r="N70" i="15" s="1"/>
  <c r="J61" i="7"/>
  <c r="J48" i="7"/>
  <c r="J44" i="7"/>
  <c r="J40" i="7"/>
  <c r="J31" i="7"/>
  <c r="J27" i="7"/>
  <c r="J22" i="7" l="1"/>
  <c r="J35" i="7"/>
  <c r="J62" i="7" l="1"/>
  <c r="J65" i="7" s="1"/>
  <c r="J66"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Felipe Toro</author>
    <author/>
  </authors>
  <commentList>
    <comment ref="B13" authorId="0" shapeId="0" xr:uid="{6BB7AE3A-C53C-45F5-83DC-F5BF2691C637}">
      <text>
        <r>
          <rPr>
            <b/>
            <sz val="9"/>
            <color indexed="81"/>
            <rFont val="Tahoma"/>
            <family val="2"/>
          </rPr>
          <t>Felipe Toro:</t>
        </r>
        <r>
          <rPr>
            <sz val="9"/>
            <color indexed="81"/>
            <rFont val="Tahoma"/>
            <family val="2"/>
          </rPr>
          <t xml:space="preserve">
Se eliminó Maestro de Obra estaba repetido</t>
        </r>
      </text>
    </comment>
    <comment ref="B20" authorId="0" shapeId="0" xr:uid="{4C0AD501-4690-45F4-9261-2AEE9E947431}">
      <text>
        <r>
          <rPr>
            <b/>
            <sz val="9"/>
            <color indexed="81"/>
            <rFont val="Tahoma"/>
            <family val="2"/>
          </rPr>
          <t>Felipe Toro:</t>
        </r>
        <r>
          <rPr>
            <sz val="9"/>
            <color indexed="81"/>
            <rFont val="Tahoma"/>
            <family val="2"/>
          </rPr>
          <t xml:space="preserve">
Varía entre 500.000 y 3´000.000 dependiendo complejidad</t>
        </r>
      </text>
    </comment>
    <comment ref="G25" authorId="1" shapeId="0" xr:uid="{B7AE6D92-FE5D-414B-9881-A75ECD2BBF25}">
      <text>
        <r>
          <rPr>
            <sz val="9"/>
            <color indexed="81"/>
            <rFont val="宋体"/>
            <charset val="134"/>
          </rPr>
          <t xml:space="preserve">win98:
Establecer este factor en función al valor aproximado del AIU.
</t>
        </r>
      </text>
    </comment>
    <comment ref="D31" authorId="0" shapeId="0" xr:uid="{2B3C00D3-9DE9-47F6-93EF-EE56E31A473C}">
      <text>
        <r>
          <rPr>
            <b/>
            <sz val="9"/>
            <color indexed="81"/>
            <rFont val="Tahoma"/>
            <family val="2"/>
          </rPr>
          <t>Felipe Toro:</t>
        </r>
        <r>
          <rPr>
            <sz val="9"/>
            <color indexed="81"/>
            <rFont val="Tahoma"/>
            <family val="2"/>
          </rPr>
          <t xml:space="preserve">
Tasa fija, independiente del valor y duración del contrato</t>
        </r>
      </text>
    </comment>
    <comment ref="E34" authorId="1" shapeId="0" xr:uid="{1CE19D39-E27B-4C93-AC6D-078942DC077A}">
      <text>
        <r>
          <rPr>
            <sz val="9"/>
            <color indexed="81"/>
            <rFont val="宋体"/>
            <charset val="134"/>
          </rPr>
          <t xml:space="preserve">win98:
Este porcenteje corresponde al uso de la valla para este proyecto, incluyendo el valor de salvamento.
</t>
        </r>
      </text>
    </comment>
    <comment ref="I47" authorId="1" shapeId="0" xr:uid="{20914E20-BED8-4D5E-863C-0C9EA7CE4AA6}">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<sst xmlns="http://schemas.openxmlformats.org/spreadsheetml/2006/main" count="1374" uniqueCount="363">
  <si>
    <t>Formulario 1 - Propuesta económica  - Documento tipo de selección abreviada de menor cuantía - versión 2</t>
  </si>
  <si>
    <t>Código</t>
  </si>
  <si>
    <t>CCE-EICP-FM-25</t>
  </si>
  <si>
    <t>Versión</t>
  </si>
  <si>
    <t>FORMULARIO 1</t>
  </si>
  <si>
    <t>PRESUPUESTO OFICIAL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</si>
  <si>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</si>
  <si>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</si>
  <si>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</si>
  <si>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 xml:space="preserve">ESPECIFICACIONES </t>
  </si>
  <si>
    <t>DESCRIPCION</t>
  </si>
  <si>
    <t>UND.</t>
  </si>
  <si>
    <t>CANTIDAD</t>
  </si>
  <si>
    <t>VALOR UNITARIO</t>
  </si>
  <si>
    <t xml:space="preserve">VALOR TOTAL                                </t>
  </si>
  <si>
    <t>GENERAL</t>
  </si>
  <si>
    <t>PARTICULAR</t>
  </si>
  <si>
    <t>PRELIMINARES</t>
  </si>
  <si>
    <t>Subtotal</t>
  </si>
  <si>
    <t>BASES</t>
  </si>
  <si>
    <t>CAPA RODADURA</t>
  </si>
  <si>
    <t>ANDENES Y SARDINELES</t>
  </si>
  <si>
    <t>CORTES Y SELLOS</t>
  </si>
  <si>
    <t>ACERO</t>
  </si>
  <si>
    <t>Obras de contención</t>
  </si>
  <si>
    <t>VARIOS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</si>
  <si>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</si>
  <si>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</si>
  <si>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</si>
  <si>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</si>
  <si>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</si>
  <si>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</si>
  <si>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</si>
  <si>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</si>
  <si>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</si>
  <si>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</si>
  <si>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</si>
  <si>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</si>
  <si>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NOTA 4: Siguiendo las recomendaciones de la Guía de Colombia Compra Eficiente, presentar la oferta</t>
  </si>
  <si>
    <t xml:space="preserve">UTILIDAD
</t>
  </si>
  <si>
    <t>U=</t>
  </si>
  <si>
    <t>NOTA 5:  Revisar el Formulario 1 de Presupuesto con sus decimales y tenerlos en cuenta para la presentación de la propuesta económica.</t>
  </si>
  <si>
    <t>TOTAL A.I.U</t>
  </si>
  <si>
    <t>A.I.U.=</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</si>
  <si>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</si>
  <si>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r>
      <t xml:space="preserve">	</t>
    </r>
    <r>
      <rPr>
        <b/>
        <sz val="16"/>
        <rFont val="Arial Narrow"/>
        <family val="2"/>
      </rPr>
      <t>Firma del Proponente o de su Representante Legal</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</si>
  <si>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</si>
  <si>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</si>
  <si>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</si>
  <si>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r>
      <rPr>
        <b/>
        <sz val="11"/>
        <rFont val="Arial"/>
        <family val="2"/>
      </rPr>
      <t>NOTA 5:</t>
    </r>
    <r>
      <rPr>
        <sz val="11"/>
        <rFont val="Arial"/>
        <family val="2"/>
      </rPr>
      <t xml:space="preserve">  Revisar el Formulario 1 de Presupuesto con sus decimales y tenerlos en cuenta para la presentación de la propuesta económica.</t>
    </r>
  </si>
  <si>
    <t>CODIGO</t>
  </si>
  <si>
    <t>COD INSUMO</t>
  </si>
  <si>
    <t>INSUMO</t>
  </si>
  <si>
    <t>TIPO</t>
  </si>
  <si>
    <t>UNIDAD</t>
  </si>
  <si>
    <t>REND</t>
  </si>
  <si>
    <t>AIU</t>
  </si>
  <si>
    <t>VALOR TOTAL INCLUIDO AIU</t>
  </si>
  <si>
    <t>001.044</t>
  </si>
  <si>
    <t>-</t>
  </si>
  <si>
    <t xml:space="preserve">DESCAPOTE MANUAL e=0.20 m. </t>
  </si>
  <si>
    <t>Actividad</t>
  </si>
  <si>
    <t>M2</t>
  </si>
  <si>
    <t>C1</t>
  </si>
  <si>
    <t>CUADRILLA AA TIPO 1 (1 OFICIAL + 1 AYUDANTE) (Albañileria)</t>
  </si>
  <si>
    <t>Cuadrilla</t>
  </si>
  <si>
    <t>HR</t>
  </si>
  <si>
    <t>E24</t>
  </si>
  <si>
    <t>VOLQUETA 6M3 (CARGUE A MANO)</t>
  </si>
  <si>
    <t>Equipos</t>
  </si>
  <si>
    <t>VJE</t>
  </si>
  <si>
    <t>H2</t>
  </si>
  <si>
    <t>EQUIPO BASICO (HERRAMIENTA MENOR)</t>
  </si>
  <si>
    <t>Herramienta</t>
  </si>
  <si>
    <t>UND</t>
  </si>
  <si>
    <t>I1565</t>
  </si>
  <si>
    <t>ACARREO INTERNO</t>
  </si>
  <si>
    <t>Insumo</t>
  </si>
  <si>
    <t>029.014-1</t>
  </si>
  <si>
    <t>DEMOLICION DE PAVIMENTO CONCRETO HIDRAULICO CON EQUIPO MECANICO INCLUYE RETIRO</t>
  </si>
  <si>
    <t>M3</t>
  </si>
  <si>
    <t>C22</t>
  </si>
  <si>
    <t>CUADRILLA AA TIPO 4 (1 OFICIAL + 4 AYUDANTE) (Albañileria)</t>
  </si>
  <si>
    <t>VOLQUETA  7 M3 (CARGUE A MANO)</t>
  </si>
  <si>
    <t>E7</t>
  </si>
  <si>
    <t>COMPRESOR 2 MARTILLOS (INCLUYE ACPM Y TRANSPORTE)</t>
  </si>
  <si>
    <t>PERMISO ZONA DE DEPOSITO AUTORIZADA</t>
  </si>
  <si>
    <t>029.015</t>
  </si>
  <si>
    <t xml:space="preserve">DEMOLICION DE PAVIMENTO CONCRETO HIDRAULICO MANUAL </t>
  </si>
  <si>
    <t>VOLQUETA  7M3 (CARGUE A MANO)</t>
  </si>
  <si>
    <t xml:space="preserve">DEMOLICION DE PAVIMENTO CONCRETO ASFALTICO </t>
  </si>
  <si>
    <t>029.013</t>
  </si>
  <si>
    <t>C15</t>
  </si>
  <si>
    <t>CUADRILLA AA TIPO 3 (1 OFICIAL + 3 AYUDANTE) (Albañileria)</t>
  </si>
  <si>
    <t>029.007</t>
  </si>
  <si>
    <t>DEMOLICIÓN DE ANDENES Y SARDINELES EN CONCRETO HIDRÁULICO</t>
  </si>
  <si>
    <t>002.016-1</t>
  </si>
  <si>
    <t xml:space="preserve">EXCAVACIÓN A CIELO ABIERTO - MATERIAL COMÚN - 0.0 A 2.0 M                                                                            </t>
  </si>
  <si>
    <t>I282</t>
  </si>
  <si>
    <t>MANEJO DE AGUAS PARA PROTECCION DE LA ZONA DE EXCAVACION(SUELO CEMENTO 10:1)</t>
  </si>
  <si>
    <t>002.017-1</t>
  </si>
  <si>
    <t>EXCAVACIÓN A CIELO ABIERTO - CONGLOMERADO - 0.0 A 2.0 M</t>
  </si>
  <si>
    <t>001.060</t>
  </si>
  <si>
    <t>SUMINISTRO, TRANSPORTE E INSTALACION TECHADO MOVIBLE EN GUADUA Y PLÁSTICO</t>
  </si>
  <si>
    <t>E12</t>
  </si>
  <si>
    <t>EQUIPO DE TRANSPORTE</t>
  </si>
  <si>
    <t>DIA</t>
  </si>
  <si>
    <t>I455</t>
  </si>
  <si>
    <t>ESTRUCTURA EN GUADUA</t>
  </si>
  <si>
    <t>I456</t>
  </si>
  <si>
    <t>PLÁSTICO TRANSPARENTE CALIBRE 6</t>
  </si>
  <si>
    <t>023.008-1</t>
  </si>
  <si>
    <t xml:space="preserve">SUMINISTRO, TRANSPORTE E INSTALACION AFIRMADO COMPACTADO PARA ANDENES </t>
  </si>
  <si>
    <t>E47</t>
  </si>
  <si>
    <t>VIBROCOMPACTADOR TIPO RANA</t>
  </si>
  <si>
    <t>I50</t>
  </si>
  <si>
    <t>AFIRMADO NORMA INVIAS</t>
  </si>
  <si>
    <t>023.012-1</t>
  </si>
  <si>
    <t>SUMINISTRO, TRANSPORTE E INSTALACION SUB BASE COMPACTADA CON CILINDRO</t>
  </si>
  <si>
    <t>CILINDRO COMPACTADOR 3 TONELADAS</t>
  </si>
  <si>
    <t>I43</t>
  </si>
  <si>
    <t>SUB BASE GRANULAR SBG-1 NORMA INVIAS</t>
  </si>
  <si>
    <t>023.028</t>
  </si>
  <si>
    <t>SUMINISTRO, TRANSPORTE E INSTALACION PAVIMENTO EN CONCRETO MR 42 HECHO EN OBRA</t>
  </si>
  <si>
    <t>AB15</t>
  </si>
  <si>
    <t>CONCRETO MR 42 kg/cm2</t>
  </si>
  <si>
    <t>Analisis</t>
  </si>
  <si>
    <t>E16</t>
  </si>
  <si>
    <t>REGLA VIBRATORIA</t>
  </si>
  <si>
    <t>E21</t>
  </si>
  <si>
    <t>VIBRADOR A GASOLINA</t>
  </si>
  <si>
    <t>I424</t>
  </si>
  <si>
    <t>PUNTILLA CON CABEZA 1"</t>
  </si>
  <si>
    <t>LB</t>
  </si>
  <si>
    <t>I478</t>
  </si>
  <si>
    <t>ADITIVO PARA CURAR EL CONCRETO</t>
  </si>
  <si>
    <t>I990</t>
  </si>
  <si>
    <t>TABLA 1"X10"X3M</t>
  </si>
  <si>
    <t>I991</t>
  </si>
  <si>
    <t>CUARTON 2"X4"X3M</t>
  </si>
  <si>
    <t>023.006-1</t>
  </si>
  <si>
    <t>SUMINISTRO, TRANSPORTE E INSTALACION PAVIMENTO EN CONCRETO PREMEZCLADO MR 42 (Rutas de alto tráfico)</t>
  </si>
  <si>
    <t> </t>
  </si>
  <si>
    <t>023,006-1</t>
  </si>
  <si>
    <t>I275</t>
  </si>
  <si>
    <t>CONCRETO PREMEZCLADO PARA PAVIMENTO MR 42 KG/CM2</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</si>
  <si>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</si>
  <si>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</si>
  <si>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</si>
  <si>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</si>
  <si>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</si>
  <si>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</si>
  <si>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</si>
  <si>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</si>
  <si>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</si>
  <si>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</si>
  <si>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LT</t>
  </si>
  <si>
    <t>023.004-1</t>
  </si>
  <si>
    <t>SUMINISTRO, TRANSPORTE E INSTALACION  MEZCLA ASFALTICA TIPO MDC-19. Extendido y compactado (INCLUYE TRANSPORTE - DISTANCIA 60 KM)</t>
  </si>
  <si>
    <t>E20</t>
  </si>
  <si>
    <t>TERMINADORA DE ASFALTO</t>
  </si>
  <si>
    <t>E22</t>
  </si>
  <si>
    <t>VIBROCOMPACTADOR DE SUELO</t>
  </si>
  <si>
    <t>E3</t>
  </si>
  <si>
    <t>CARROTANQUE DE AGUA 10.000 LTS.</t>
  </si>
  <si>
    <t>E5</t>
  </si>
  <si>
    <t>COMPACTADOR DE ASFALTO</t>
  </si>
  <si>
    <t>I370</t>
  </si>
  <si>
    <t>023.031-1</t>
  </si>
  <si>
    <t>SUMINISTRO, TRANSPORTE E INSTALACION  MEZCLA ASFALTICA TIPO MDC-19 PARA PARCHEO MANTENIMIENTO (INCLUYE TRANSPORTE - DISTANCIA 60 KM)</t>
  </si>
  <si>
    <t>E24-1</t>
  </si>
  <si>
    <t xml:space="preserve">VOLQUETA  8M3 </t>
  </si>
  <si>
    <t>E47-1</t>
  </si>
  <si>
    <t>COMPACTADOR DE  3 TON</t>
  </si>
  <si>
    <t>MEZCLA ASFALTICA TIPO MDC-19</t>
  </si>
  <si>
    <t>021.052</t>
  </si>
  <si>
    <t>SUMINISTRO, TRANSPORTE E INSTALACION ANDEN CONCRETO 3000 PSI  E= 0.10M.  ACABADO:  ESCOBIADO</t>
  </si>
  <si>
    <t>AB5</t>
  </si>
  <si>
    <t>CONCRETO 3000 psi - 21 Mpa</t>
  </si>
  <si>
    <t>E104</t>
  </si>
  <si>
    <t>FORMALETA SARDINEL DESDE 0.20 HASTA 0.60 M. DE ALTURA POR 2.00 M. DE LONGITUD</t>
  </si>
  <si>
    <t>I423</t>
  </si>
  <si>
    <t>POLIETILENO NO. 6</t>
  </si>
  <si>
    <t>I957</t>
  </si>
  <si>
    <t>LISTON 2 X 4</t>
  </si>
  <si>
    <t>M</t>
  </si>
  <si>
    <t>021.016</t>
  </si>
  <si>
    <t>SUMINISTRO, TRANSPORTE E INSTALACION SARDINEL ANCHO = 20 CM H =  ENTRE  17 Y 24 CM  EN CONCRETO 3000 PSI</t>
  </si>
  <si>
    <t>ML</t>
  </si>
  <si>
    <t>021.034</t>
  </si>
  <si>
    <t>SUMINISTRO, TRANSPORTE E INSTALACION ESCALAS CONCRETO 3000 PSI E= 0.10M.  SOBRE TIERRA ACABADO ESCOBIADO</t>
  </si>
  <si>
    <t>AB20</t>
  </si>
  <si>
    <t>MORTERO 1:3</t>
  </si>
  <si>
    <t>023.034</t>
  </si>
  <si>
    <t>CORTE MECANIZADO DE PAVIMENTO 5 mm</t>
  </si>
  <si>
    <t>E29</t>
  </si>
  <si>
    <t>CORTADORA DE CONCRETO</t>
  </si>
  <si>
    <t>032.015</t>
  </si>
  <si>
    <t>CORTE MECANIZADO DE ANDEN EN CONCRETO CON DISCO (3,5CM)</t>
  </si>
  <si>
    <t>E8</t>
  </si>
  <si>
    <t xml:space="preserve">CORTADORA INCLUYE DISCO </t>
  </si>
  <si>
    <t>023.036</t>
  </si>
  <si>
    <t>SUMINISTRO, TRANSPORTE E INSTALACION SELLO DE JUNTA DE PAVIMENTO RIGIDO 5mm</t>
  </si>
  <si>
    <t>I479</t>
  </si>
  <si>
    <t>SELLO ELASTOMERICO</t>
  </si>
  <si>
    <t>023.045</t>
  </si>
  <si>
    <t>CANASTILLA DE SOPORTE DE DOVELAS EN HIERRO 3/8" Y 1/4"</t>
  </si>
  <si>
    <t>I2</t>
  </si>
  <si>
    <t>ACERO 60.000 PSI</t>
  </si>
  <si>
    <t>KG</t>
  </si>
  <si>
    <t>023.046</t>
  </si>
  <si>
    <t>DOVELAS DE ACERO LISO 60000 PSI PARA PAVIMENTOS</t>
  </si>
  <si>
    <t>I27</t>
  </si>
  <si>
    <t>HIERRO LISO (DOVELAS)</t>
  </si>
  <si>
    <t>I273</t>
  </si>
  <si>
    <t>GRASA ECON X 370 GRS</t>
  </si>
  <si>
    <t>023.045-1</t>
  </si>
  <si>
    <t>ACERO 60.000 PSI (INCLUYE ALAMBRE NEGRO Y FIGURACION)</t>
  </si>
  <si>
    <t>EQUIPO BASICO ( HERRAMIENTA MENOR )</t>
  </si>
  <si>
    <t>und</t>
  </si>
  <si>
    <t>Mano de Obra</t>
  </si>
  <si>
    <t>hr</t>
  </si>
  <si>
    <t>A01</t>
  </si>
  <si>
    <t>kg</t>
  </si>
  <si>
    <t>A11</t>
  </si>
  <si>
    <t>ALAMBRE NEGRO NO. 18</t>
  </si>
  <si>
    <t>M18</t>
  </si>
  <si>
    <t>Equipo</t>
  </si>
  <si>
    <t>dia</t>
  </si>
  <si>
    <t>024.112-1</t>
  </si>
  <si>
    <t>SUMINISTRO, TRANSPORTE E INSTALACION SUMIDERO DOBLE REJA TIPO SIFÓN EN CONCRETO CLASE II-TAPA ANTIRUIDO (NO INCLUYE REJA)</t>
  </si>
  <si>
    <t>C23</t>
  </si>
  <si>
    <t>CUADRILLA BB TIPO 4 (1 OFICIAL + 4 AYUDANTE) (Instalaciones)</t>
  </si>
  <si>
    <t>E112</t>
  </si>
  <si>
    <t>FORMALETA METALICA PARA CAMARA CIRCULAR</t>
  </si>
  <si>
    <t>I1566</t>
  </si>
  <si>
    <t>CURADO DEL CONCRETO</t>
  </si>
  <si>
    <t>024.089</t>
  </si>
  <si>
    <t xml:space="preserve">TRANSPORTE E INSTALACION ARO TAPA HF D=0.68 M. P/CÁMARA DE INSPECCIÓN                                                         </t>
  </si>
  <si>
    <t>C37</t>
  </si>
  <si>
    <t>CUADRILLA BB TIPO 6 (1 OFICIAL + 6 AYUDANTE) (Instalaciones)</t>
  </si>
  <si>
    <t>023.040-1</t>
  </si>
  <si>
    <t>SUMINISTRO, TRANSPORTE E INSTALACIÓN DE ADITIVO PARA ACELERAR FRAGUADO A SIETE (7) DIAS (ACELERANTE) DE UN M3 DE CONCRETO PAVIMENTO MR 42</t>
  </si>
  <si>
    <t>I498</t>
  </si>
  <si>
    <t>SIKA SET X 5KG</t>
  </si>
  <si>
    <t>002.055</t>
  </si>
  <si>
    <t>RETIRO DE MATERIAL SOBRANTE EN VOLQUETA, CARGUE MECANICO</t>
  </si>
  <si>
    <t>E43</t>
  </si>
  <si>
    <t>RETROCARGADORA DE LLANTAS</t>
  </si>
  <si>
    <t>E25</t>
  </si>
  <si>
    <t>VOLQUETA  7M3 (CARGUE MECÁNICO)</t>
  </si>
  <si>
    <t>001.084</t>
  </si>
  <si>
    <t>TRANSPORTE POR DÍA LABORADO VEHÍCULO AUTOMOTOR TIPO CAMIONETA DE ESTACAS O SIMILAR</t>
  </si>
  <si>
    <t>E84</t>
  </si>
  <si>
    <t>CAMIONETA ALQUILER</t>
  </si>
  <si>
    <t>030.002</t>
  </si>
  <si>
    <t>JORNAL AYUDANTE</t>
  </si>
  <si>
    <t>C43</t>
  </si>
  <si>
    <t>AYUDANTE AA (ALBAÑILERIA)</t>
  </si>
  <si>
    <t>ADI-33.169</t>
  </si>
  <si>
    <t>REGULADOR DE TRANSITO</t>
  </si>
  <si>
    <t>AUXILIAR DE TRÀNSITO CAPACITADO</t>
  </si>
  <si>
    <t>023.048</t>
  </si>
  <si>
    <t>SUMINISTRO, TRANSPORTE E INSTALACION  DEMARCACION PASOS PEATONALES, LINEAS DE PARE, SIMBOLOS, TEXTOS Y OTRAS, CON PINTURA PLASTICO EN FRIO.</t>
  </si>
  <si>
    <t>I1539</t>
  </si>
  <si>
    <t>DEMARCACION PASOS PEATONALES, LINEAS DE PARE, SIMBOLOS, TEXTOS Y OTRAS, CON PINTURA PLASTICO EN FRIO.</t>
  </si>
  <si>
    <t>023.049</t>
  </si>
  <si>
    <t>SUMINISTRO, TRANSPORTE E INSTALACION  DEMARCACION LINEAS CENTRALES, DE BORDE, DE CARRIL Y OTRAS (Ancho 12cms), CON PINTURA PLASTICO EN FRIO.</t>
  </si>
  <si>
    <t>I1540</t>
  </si>
  <si>
    <t>DEMARCACION LINEAS CENTRALES, DE BORDE, DE CARRIL Y OTRAS (Ancho 12cms), CON PINTURA PLASTICO EN FRIO.</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</si>
  <si>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</si>
  <si>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</si>
  <si>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</si>
  <si>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</si>
  <si>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</si>
  <si>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</si>
  <si>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</si>
  <si>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</si>
  <si>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</si>
  <si>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</si>
  <si>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</si>
  <si>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</si>
  <si>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</si>
  <si>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</si>
  <si>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</si>
  <si>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</si>
  <si>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</si>
  <si>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</si>
  <si>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</si>
  <si>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</si>
  <si>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</si>
  <si>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</si>
  <si>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</si>
  <si>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</si>
  <si>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</si>
  <si>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</si>
  <si>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</si>
  <si>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</si>
  <si>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</si>
  <si>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</si>
  <si>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</si>
  <si>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</si>
  <si>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</si>
  <si>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</si>
  <si>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</si>
  <si>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</si>
  <si>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</si>
  <si>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</si>
  <si>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</si>
  <si>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</si>
  <si>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</si>
  <si>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</si>
  <si>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</si>
  <si>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</si>
  <si>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</si>
  <si>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</si>
  <si>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</si>
  <si>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</si>
  <si>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4/1000 (transacciones financieras)</t>
  </si>
  <si>
    <t>Industria y Comercio 3,5 x 1.000 sobre valor total.</t>
  </si>
  <si>
    <t>TOTAL GASTOS INDIRECTOS DE ADMINISTRACION.</t>
  </si>
  <si>
    <t>UTILIDAD:</t>
  </si>
  <si>
    <t>A.U.</t>
  </si>
  <si>
    <t>Estampilla Pro Justicia Familiar</t>
  </si>
  <si>
    <t>002,0030</t>
  </si>
  <si>
    <t>EXCAVACION PARA PILOTES D=&lt; 35 CM (0-6)M</t>
  </si>
  <si>
    <t>002,049</t>
  </si>
  <si>
    <t>RELLENO EN MATERIAL SELECCIONADO PROVENIENTE DE LA EXCAVACION</t>
  </si>
  <si>
    <t>002A,019</t>
  </si>
  <si>
    <t>SUMINISTRO, TRANSPORTE E INSTALACION PILOTES EN CONCRETO 3000 PSI D=0.35</t>
  </si>
  <si>
    <t>SUMINISTRO TRANSPORTE E INSTALACION MURO EN CONCRETO 21 MPA, NO INCLUYE REFUERZO</t>
  </si>
  <si>
    <t>005,086</t>
  </si>
  <si>
    <t>SOBREACARREO EN VEHICULO NO AUTOMOTOR AL HOMBRO EN FUERTE PENDIENTE Y/O ESCALAS (SIN ACARREO LIBRE)</t>
  </si>
  <si>
    <t>033,088</t>
  </si>
  <si>
    <t>M3/HM</t>
  </si>
  <si>
    <t>SUMINISTRO, TRANSPORTE E INSTALACIÓN DE BOLARDO EN CONCRETO  DIÁMETRO 18 CM, H:62 CM LIBRES. TIPO PASEO DEL CARMEN</t>
  </si>
  <si>
    <t>021,040</t>
  </si>
  <si>
    <t>E15</t>
  </si>
  <si>
    <t>E49</t>
  </si>
  <si>
    <t>MOTONIVELADORA 120 HP.</t>
  </si>
  <si>
    <t>002A.019</t>
  </si>
  <si>
    <t>SUMINISTRO, TRANSPORTE E INSTALACION PILOTES EN CONCRETO 3000 PSI D= 0.35 m</t>
  </si>
  <si>
    <t>C29</t>
  </si>
  <si>
    <t>CUADRILLA AA TIPO 5 (1 OFICIAL + 5 AYUDANTE) (Albañileria)</t>
  </si>
  <si>
    <t>005.086</t>
  </si>
  <si>
    <t>C36</t>
  </si>
  <si>
    <t>CUADRILLA AA TIPO 6 (1 OFICIAL + 6 AYUDANTE) (Albañileria)</t>
  </si>
  <si>
    <t>033.088</t>
  </si>
  <si>
    <t>M3 - HM</t>
  </si>
  <si>
    <t>021.040</t>
  </si>
  <si>
    <t>I284</t>
  </si>
  <si>
    <t>BOLARDO EN CONCRETO DIAMETRO 18cm Y ALTURA LIBRE 62 cm</t>
  </si>
  <si>
    <t>032.083</t>
  </si>
  <si>
    <t xml:space="preserve">EXCAVACION PARA PILOTES D=&lt;  a 35 cm (0-6)m </t>
  </si>
  <si>
    <t>E27</t>
  </si>
  <si>
    <t>VOLQUETA  6M3 (CARGUE A MANO) RETIRO INTERNO</t>
  </si>
  <si>
    <t>002.049</t>
  </si>
  <si>
    <t>RELLENO EN MATERIAL SELECCIONADO PROVENIENTE DE LA EXCAVACION (APISONADO)</t>
  </si>
  <si>
    <t>MEZCLA ASFALTICA TIPO MDC-19 (INCLUYE TRANSPORTE)</t>
  </si>
  <si>
    <t>“MANTENIMIENTO Y REHABILITACIÓN DE VÍAS URBANAS, MEDIANTE LA REPARACIÓN Y CONSTRUCCIÓN DE PAVIMENTOS Y PEATONALES EN LAS COMUNAS 7 – TESORITO Y 8 PALOGRANDE, EN LA CIUDAD DE MANIZALES, POR MONTO AGOTABLE”</t>
  </si>
  <si>
    <t>TRANSPORTE ASFALTO DESDE LA PLANTA</t>
  </si>
  <si>
    <t>M3-KM</t>
  </si>
  <si>
    <r>
      <rPr>
        <b/>
        <sz val="11"/>
        <rFont val="Arial"/>
        <family val="2"/>
      </rPr>
      <t>NOTA 4:</t>
    </r>
    <r>
      <rPr>
        <sz val="11"/>
        <rFont val="Arial"/>
        <family val="2"/>
      </rPr>
      <t xml:space="preserve"> Siguiendo las recomendaciones de la Guía de Colombia Compra Eficiente, presentar la oferta económica en archivo editable (Excel) y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</si>
</sst>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 * #,##0.00_ ;_ * \-#,##0.00_ ;_ * &quot;-&quot;??_ ;_ @_ "/>
    <numFmt numFmtId="168" formatCode="_ &quot;$&quot;\ * #,##0_ ;_ &quot;$&quot;\ * \-#,##0_ ;_ &quot;$&quot;\ * &quot;-&quot;_ ;_ @_ "/>
    <numFmt numFmtId="169" formatCode="&quot;$&quot;\ #,##0.00;[Red]&quot;$&quot;\ \-#,##0.00"/>
    <numFmt numFmtId="170" formatCode="&quot;$&quot;\ #,##0"/>
    <numFmt numFmtId="171" formatCode="_-[$$-240A]* #,##0_-;\-[$$-240A]* #,##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0.0000"/>
    <numFmt numFmtId="180" formatCode="0.00000"/>
    <numFmt numFmtId="181" formatCode="#,###"/>
    <numFmt numFmtId="182" formatCode="&quot;$&quot;#,##0"/>
    <numFmt numFmtId="183" formatCode="0.000%"/>
    <numFmt numFmtId="184" formatCode="0.0000%"/>
    <numFmt numFmtId="185" formatCode="_-&quot;$&quot;\ * #,##0_-;\-&quot;$&quot;\ * #,##0_-;_-&quot;$&quot;\ * &quot;-&quot;??_-;_-@_-"/>
  </numFmts>
  <fonts count="4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9"/>
      <name val="Arial"/>
      <family val="2"/>
    </font>
    <font>
      <b/>
      <u/>
      <sz val="11"/>
      <name val="Arial"/>
      <family val="2"/>
    </font>
    <font>
      <sz val="14"/>
      <name val="Arial Narrow"/>
      <family val="2"/>
    </font>
    <font>
      <sz val="10"/>
      <name val="Arial"/>
      <family val="2"/>
    </font>
    <font>
      <sz val="10"/>
      <color theme="1"/>
      <name val="Arial"/>
      <family val="2"/>
    </font>
    <font>
      <sz val="10"/>
      <color theme="1"/>
      <name val="Arial Narrow"/>
      <family val="2"/>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sz val="9"/>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FFFF"/>
        <bgColor indexed="64"/>
      </patternFill>
    </fill>
    <fill>
      <patternFill patternType="solid">
        <fgColor theme="9" tint="0.39997558519241921"/>
        <bgColor indexed="64"/>
      </patternFill>
    </fill>
  </fills>
  <borders count="10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auto="1"/>
      </left>
      <right/>
      <top style="medium">
        <color indexed="64"/>
      </top>
      <bottom style="medium">
        <color auto="1"/>
      </bottom>
      <diagonal/>
    </border>
    <border>
      <left style="thin">
        <color indexed="64"/>
      </left>
      <right style="medium">
        <color indexed="64"/>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thin">
        <color auto="1"/>
      </left>
      <right style="thin">
        <color rgb="FF000000"/>
      </right>
      <top style="thin">
        <color auto="1"/>
      </top>
      <bottom style="thin">
        <color auto="1"/>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
      <left style="thin">
        <color auto="1"/>
      </left>
      <right style="thin">
        <color auto="1"/>
      </right>
      <top style="thin">
        <color auto="1"/>
      </top>
      <bottom style="thin">
        <color auto="1"/>
      </bottom>
      <diagonal/>
    </border>
  </borders>
  <cellStyleXfs count="29">
    <xf numFmtId="0" fontId="0" fillId="0" borderId="0"/>
    <xf numFmtId="167"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68"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0" fontId="8" fillId="0" borderId="0"/>
    <xf numFmtId="173"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41" fontId="19"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44" fontId="27" fillId="0" borderId="0" applyFont="0" applyFill="0" applyBorder="0" applyAlignment="0" applyProtection="0"/>
    <xf numFmtId="0" fontId="2" fillId="0" borderId="0"/>
    <xf numFmtId="0" fontId="8" fillId="0" borderId="0"/>
    <xf numFmtId="9" fontId="8" fillId="0" borderId="0" applyFont="0" applyFill="0" applyBorder="0" applyAlignment="0" applyProtection="0"/>
    <xf numFmtId="0" fontId="1" fillId="0" borderId="0"/>
    <xf numFmtId="0" fontId="1" fillId="0" borderId="0"/>
  </cellStyleXfs>
  <cellXfs count="487">
    <xf numFmtId="0" fontId="0" fillId="0" borderId="0" xfId="0"/>
    <xf numFmtId="0" fontId="6" fillId="0" borderId="0" xfId="3" applyFont="1"/>
    <xf numFmtId="0" fontId="7" fillId="0" borderId="0" xfId="3" applyFont="1"/>
    <xf numFmtId="0" fontId="6" fillId="0" borderId="1" xfId="3" applyFont="1" applyBorder="1"/>
    <xf numFmtId="0" fontId="6" fillId="0" borderId="2" xfId="3" applyFont="1" applyBorder="1"/>
    <xf numFmtId="0" fontId="6" fillId="0" borderId="2" xfId="3" applyFont="1" applyBorder="1" applyAlignment="1">
      <alignment horizontal="center"/>
    </xf>
    <xf numFmtId="0" fontId="6" fillId="0" borderId="3" xfId="3" applyFont="1" applyBorder="1"/>
    <xf numFmtId="0" fontId="6" fillId="0" borderId="4" xfId="3" applyFont="1" applyBorder="1"/>
    <xf numFmtId="0" fontId="6" fillId="0" borderId="5" xfId="3" applyFont="1" applyBorder="1"/>
    <xf numFmtId="0" fontId="6" fillId="2" borderId="0" xfId="3" applyFont="1" applyFill="1"/>
    <xf numFmtId="0" fontId="6" fillId="2" borderId="4" xfId="3" applyFont="1" applyFill="1" applyBorder="1"/>
    <xf numFmtId="0" fontId="6" fillId="2" borderId="5" xfId="3" applyFont="1" applyFill="1" applyBorder="1"/>
    <xf numFmtId="0" fontId="13" fillId="0" borderId="10" xfId="6" applyFont="1" applyBorder="1" applyAlignment="1">
      <alignment horizontal="center" vertical="center" wrapText="1"/>
    </xf>
    <xf numFmtId="0" fontId="6" fillId="0" borderId="12" xfId="5" applyFont="1" applyBorder="1" applyAlignment="1">
      <alignment horizontal="center" vertical="center"/>
    </xf>
    <xf numFmtId="164" fontId="6" fillId="0" borderId="13" xfId="8" applyNumberFormat="1" applyFont="1" applyBorder="1" applyAlignment="1">
      <alignment horizontal="right" vertical="center" wrapText="1"/>
    </xf>
    <xf numFmtId="0" fontId="13" fillId="5" borderId="14" xfId="5" applyFont="1" applyFill="1" applyBorder="1" applyAlignment="1">
      <alignment vertical="center"/>
    </xf>
    <xf numFmtId="0" fontId="13" fillId="5" borderId="15" xfId="5" applyFont="1" applyFill="1" applyBorder="1" applyAlignment="1">
      <alignment vertical="center"/>
    </xf>
    <xf numFmtId="0" fontId="13" fillId="5" borderId="16" xfId="5" applyFont="1" applyFill="1" applyBorder="1" applyAlignment="1">
      <alignment vertical="center"/>
    </xf>
    <xf numFmtId="0" fontId="7" fillId="0" borderId="4" xfId="3" applyFont="1" applyBorder="1"/>
    <xf numFmtId="0" fontId="6" fillId="0" borderId="14" xfId="5" applyFont="1" applyBorder="1" applyAlignment="1">
      <alignment horizontal="left" vertical="center"/>
    </xf>
    <xf numFmtId="0" fontId="6" fillId="0" borderId="15" xfId="3" applyFont="1" applyBorder="1"/>
    <xf numFmtId="0" fontId="6" fillId="0" borderId="15" xfId="3" applyFont="1" applyBorder="1" applyAlignment="1">
      <alignment horizontal="center"/>
    </xf>
    <xf numFmtId="170" fontId="14" fillId="0" borderId="17" xfId="7" applyNumberFormat="1" applyFont="1" applyBorder="1" applyAlignment="1">
      <alignment horizontal="right" vertical="center"/>
    </xf>
    <xf numFmtId="0" fontId="6" fillId="0" borderId="18" xfId="5" applyFont="1" applyBorder="1" applyAlignment="1">
      <alignment horizontal="left" vertical="center"/>
    </xf>
    <xf numFmtId="0" fontId="6" fillId="0" borderId="0" xfId="5" applyFont="1" applyAlignment="1">
      <alignment horizontal="center" vertical="center"/>
    </xf>
    <xf numFmtId="0" fontId="6" fillId="0" borderId="0" xfId="5" applyFont="1" applyAlignment="1">
      <alignment horizontal="left" vertical="center" wrapText="1"/>
    </xf>
    <xf numFmtId="165" fontId="6" fillId="0" borderId="19" xfId="8" applyNumberFormat="1" applyFont="1" applyBorder="1" applyAlignment="1">
      <alignment horizontal="right" vertical="center" wrapText="1"/>
    </xf>
    <xf numFmtId="170" fontId="14" fillId="0" borderId="20" xfId="7" applyNumberFormat="1" applyFont="1" applyBorder="1" applyAlignment="1">
      <alignment horizontal="right" vertical="center"/>
    </xf>
    <xf numFmtId="2" fontId="6" fillId="0" borderId="15" xfId="5" applyNumberFormat="1" applyFont="1" applyBorder="1" applyAlignment="1">
      <alignment horizontal="center" vertical="center"/>
    </xf>
    <xf numFmtId="0" fontId="6" fillId="0" borderId="15" xfId="5" applyFont="1" applyBorder="1" applyAlignment="1">
      <alignment horizontal="left" vertical="center"/>
    </xf>
    <xf numFmtId="0" fontId="6" fillId="0" borderId="15" xfId="5" applyFont="1" applyBorder="1" applyAlignment="1">
      <alignment horizontal="center" vertical="center"/>
    </xf>
    <xf numFmtId="165" fontId="6" fillId="0" borderId="21" xfId="8" applyNumberFormat="1" applyFont="1" applyBorder="1" applyAlignment="1">
      <alignment horizontal="right" vertical="center" wrapText="1"/>
    </xf>
    <xf numFmtId="164" fontId="14" fillId="0" borderId="20" xfId="8" applyNumberFormat="1" applyFont="1" applyBorder="1" applyAlignment="1">
      <alignment horizontal="right" vertical="center" wrapText="1"/>
    </xf>
    <xf numFmtId="0" fontId="6" fillId="0" borderId="15" xfId="5" applyFont="1" applyBorder="1" applyAlignment="1">
      <alignment horizontal="left" vertical="center" wrapText="1"/>
    </xf>
    <xf numFmtId="4" fontId="6" fillId="0" borderId="22" xfId="7" applyNumberFormat="1" applyFont="1" applyBorder="1" applyAlignment="1">
      <alignment vertical="center" wrapText="1"/>
    </xf>
    <xf numFmtId="0" fontId="6" fillId="0" borderId="0" xfId="9" applyFont="1"/>
    <xf numFmtId="0" fontId="6" fillId="0" borderId="4" xfId="9" applyFont="1" applyBorder="1"/>
    <xf numFmtId="0" fontId="6" fillId="0" borderId="5" xfId="9" applyFont="1" applyBorder="1"/>
    <xf numFmtId="0" fontId="16" fillId="0" borderId="0" xfId="9" applyFont="1"/>
    <xf numFmtId="49" fontId="13" fillId="0" borderId="0" xfId="10" applyNumberFormat="1" applyFont="1" applyAlignment="1">
      <alignment horizontal="right" vertical="center"/>
    </xf>
    <xf numFmtId="172" fontId="13"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0" xfId="6" applyFont="1" applyAlignment="1">
      <alignment horizontal="center" vertical="center"/>
    </xf>
    <xf numFmtId="0" fontId="13" fillId="0" borderId="23" xfId="11" applyFont="1" applyBorder="1" applyAlignment="1">
      <alignment horizontal="left" vertical="center"/>
    </xf>
    <xf numFmtId="9" fontId="6" fillId="0" borderId="24" xfId="12" applyNumberFormat="1" applyFont="1" applyBorder="1" applyAlignment="1">
      <alignment horizontal="center" vertical="center"/>
    </xf>
    <xf numFmtId="174" fontId="13" fillId="0" borderId="24" xfId="12" applyNumberFormat="1" applyFont="1" applyBorder="1" applyAlignment="1">
      <alignment vertical="center"/>
    </xf>
    <xf numFmtId="0" fontId="6" fillId="0" borderId="25" xfId="11" applyFont="1" applyBorder="1" applyAlignment="1">
      <alignment vertical="center"/>
    </xf>
    <xf numFmtId="2" fontId="6" fillId="0" borderId="0" xfId="11" applyNumberFormat="1" applyFont="1"/>
    <xf numFmtId="174" fontId="6" fillId="0" borderId="0" xfId="12" applyNumberFormat="1" applyFont="1"/>
    <xf numFmtId="39" fontId="13" fillId="0" borderId="0" xfId="12" applyNumberFormat="1" applyFont="1" applyAlignment="1">
      <alignment vertical="center"/>
    </xf>
    <xf numFmtId="177" fontId="6" fillId="0" borderId="5" xfId="9" applyNumberFormat="1" applyFont="1" applyBorder="1"/>
    <xf numFmtId="0" fontId="18" fillId="0" borderId="0" xfId="9" applyFont="1"/>
    <xf numFmtId="0" fontId="6" fillId="0" borderId="26" xfId="9" applyFont="1" applyBorder="1"/>
    <xf numFmtId="0" fontId="6" fillId="0" borderId="27" xfId="3" applyFont="1" applyBorder="1"/>
    <xf numFmtId="0" fontId="6" fillId="0" borderId="27" xfId="3" applyFont="1" applyBorder="1" applyAlignment="1">
      <alignment horizontal="center"/>
    </xf>
    <xf numFmtId="178" fontId="6" fillId="0" borderId="27" xfId="1" applyNumberFormat="1" applyFont="1" applyBorder="1"/>
    <xf numFmtId="0" fontId="6" fillId="0" borderId="28" xfId="3" applyFont="1" applyBorder="1"/>
    <xf numFmtId="0" fontId="13" fillId="0" borderId="0" xfId="5" applyFont="1" applyAlignment="1">
      <alignment horizontal="center" vertical="center" wrapText="1"/>
    </xf>
    <xf numFmtId="167" fontId="7" fillId="0" borderId="0" xfId="1" applyFont="1"/>
    <xf numFmtId="164" fontId="6" fillId="0" borderId="33" xfId="8" applyNumberFormat="1" applyFont="1" applyBorder="1" applyAlignment="1">
      <alignment horizontal="right" vertical="center" wrapText="1"/>
    </xf>
    <xf numFmtId="170" fontId="14" fillId="0" borderId="16" xfId="7" applyNumberFormat="1" applyFont="1" applyBorder="1" applyAlignment="1">
      <alignment horizontal="right" vertical="center"/>
    </xf>
    <xf numFmtId="170" fontId="14" fillId="0" borderId="7" xfId="7" applyNumberFormat="1" applyFont="1" applyBorder="1" applyAlignment="1">
      <alignment horizontal="right" vertical="center"/>
    </xf>
    <xf numFmtId="4" fontId="6" fillId="0" borderId="10" xfId="7" applyNumberFormat="1" applyFont="1" applyBorder="1" applyAlignment="1">
      <alignment vertical="center" wrapText="1"/>
    </xf>
    <xf numFmtId="164" fontId="6" fillId="0" borderId="8" xfId="8" applyNumberFormat="1" applyFont="1" applyBorder="1" applyAlignment="1">
      <alignment horizontal="right" vertical="center" wrapText="1"/>
    </xf>
    <xf numFmtId="167" fontId="7" fillId="0" borderId="10" xfId="1" applyFont="1" applyBorder="1"/>
    <xf numFmtId="164" fontId="6" fillId="0" borderId="35" xfId="8" applyNumberFormat="1" applyFont="1" applyBorder="1" applyAlignment="1">
      <alignment horizontal="right" vertical="center" wrapText="1"/>
    </xf>
    <xf numFmtId="4" fontId="6" fillId="0" borderId="36" xfId="7" applyNumberFormat="1" applyFont="1" applyBorder="1" applyAlignment="1">
      <alignment vertical="center" wrapText="1"/>
    </xf>
    <xf numFmtId="167" fontId="7" fillId="0" borderId="25" xfId="1" applyFont="1" applyBorder="1"/>
    <xf numFmtId="0" fontId="9" fillId="0" borderId="39" xfId="0" applyFont="1" applyBorder="1" applyAlignment="1">
      <alignment horizontal="left"/>
    </xf>
    <xf numFmtId="0" fontId="10" fillId="0" borderId="39" xfId="0" applyFont="1" applyBorder="1" applyAlignment="1">
      <alignment horizontal="left"/>
    </xf>
    <xf numFmtId="0" fontId="9" fillId="0" borderId="43" xfId="0" applyFont="1" applyBorder="1" applyAlignment="1">
      <alignment horizontal="left"/>
    </xf>
    <xf numFmtId="0" fontId="10" fillId="0" borderId="44" xfId="0" applyFont="1" applyBorder="1" applyAlignment="1">
      <alignment horizontal="left"/>
    </xf>
    <xf numFmtId="0" fontId="9" fillId="0" borderId="45" xfId="0" applyFont="1" applyBorder="1" applyAlignment="1">
      <alignment horizontal="left"/>
    </xf>
    <xf numFmtId="0" fontId="10" fillId="0" borderId="46" xfId="0" applyFont="1" applyBorder="1" applyAlignment="1">
      <alignment horizontal="left"/>
    </xf>
    <xf numFmtId="0" fontId="6" fillId="2" borderId="0" xfId="4" applyFont="1" applyFill="1" applyAlignment="1">
      <alignment horizontal="center" vertical="center" wrapText="1"/>
    </xf>
    <xf numFmtId="0" fontId="11" fillId="0" borderId="0" xfId="4" applyFont="1" applyAlignment="1">
      <alignment vertical="center" wrapText="1"/>
    </xf>
    <xf numFmtId="0" fontId="12" fillId="0" borderId="0" xfId="4" applyFont="1" applyAlignment="1">
      <alignment vertical="center" wrapText="1"/>
    </xf>
    <xf numFmtId="0" fontId="9" fillId="0" borderId="0" xfId="0" applyFont="1" applyAlignment="1">
      <alignment horizontal="left"/>
    </xf>
    <xf numFmtId="0" fontId="10" fillId="0" borderId="0" xfId="0" applyFont="1" applyAlignment="1">
      <alignment horizontal="left"/>
    </xf>
    <xf numFmtId="0" fontId="0" fillId="0" borderId="3" xfId="0" applyBorder="1"/>
    <xf numFmtId="0" fontId="0" fillId="0" borderId="5" xfId="0" applyBorder="1"/>
    <xf numFmtId="174" fontId="6" fillId="0" borderId="0" xfId="12" applyNumberFormat="1" applyFont="1" applyBorder="1"/>
    <xf numFmtId="39" fontId="13" fillId="0" borderId="0" xfId="12" applyNumberFormat="1" applyFont="1" applyBorder="1" applyAlignment="1">
      <alignment vertical="center"/>
    </xf>
    <xf numFmtId="0" fontId="0" fillId="0" borderId="28" xfId="0" applyBorder="1"/>
    <xf numFmtId="164" fontId="6" fillId="0" borderId="32" xfId="8" applyNumberFormat="1" applyFont="1" applyBorder="1" applyAlignment="1">
      <alignment horizontal="right" vertical="center" wrapText="1"/>
    </xf>
    <xf numFmtId="164" fontId="6" fillId="0" borderId="31" xfId="8" applyNumberFormat="1" applyFont="1" applyBorder="1" applyAlignment="1">
      <alignment horizontal="right" vertical="center" wrapText="1"/>
    </xf>
    <xf numFmtId="167" fontId="7" fillId="0" borderId="36" xfId="1" applyFont="1" applyBorder="1"/>
    <xf numFmtId="164" fontId="14" fillId="0" borderId="11" xfId="8" applyNumberFormat="1" applyFont="1" applyBorder="1" applyAlignment="1">
      <alignment horizontal="right" vertical="center" wrapText="1"/>
    </xf>
    <xf numFmtId="0" fontId="13" fillId="5" borderId="29" xfId="5" applyFont="1" applyFill="1" applyBorder="1" applyAlignment="1">
      <alignment vertical="center"/>
    </xf>
    <xf numFmtId="0" fontId="7" fillId="0" borderId="0" xfId="9" applyFont="1"/>
    <xf numFmtId="171" fontId="7" fillId="0" borderId="0" xfId="9" applyNumberFormat="1" applyFont="1"/>
    <xf numFmtId="167" fontId="6" fillId="0" borderId="0" xfId="1" applyFont="1"/>
    <xf numFmtId="167" fontId="6" fillId="0" borderId="0" xfId="9" applyNumberFormat="1" applyFont="1"/>
    <xf numFmtId="171" fontId="7" fillId="0" borderId="0" xfId="3" applyNumberFormat="1" applyFont="1"/>
    <xf numFmtId="0" fontId="26" fillId="0" borderId="0" xfId="9" applyFont="1"/>
    <xf numFmtId="43" fontId="26" fillId="0" borderId="0" xfId="9" applyNumberFormat="1" applyFont="1"/>
    <xf numFmtId="43" fontId="7" fillId="0" borderId="0" xfId="3" applyNumberFormat="1" applyFont="1"/>
    <xf numFmtId="43" fontId="6" fillId="0" borderId="0" xfId="9" applyNumberFormat="1" applyFont="1"/>
    <xf numFmtId="164" fontId="6" fillId="0" borderId="0" xfId="9" applyNumberFormat="1" applyFont="1"/>
    <xf numFmtId="178" fontId="6" fillId="0" borderId="0" xfId="1" applyNumberFormat="1" applyFont="1"/>
    <xf numFmtId="0" fontId="0" fillId="0" borderId="0" xfId="0" applyAlignment="1">
      <alignment vertical="center"/>
    </xf>
    <xf numFmtId="0" fontId="21" fillId="0" borderId="0" xfId="20" applyFont="1" applyAlignment="1">
      <alignment horizontal="center" vertical="center" wrapText="1"/>
    </xf>
    <xf numFmtId="0" fontId="20" fillId="0" borderId="0" xfId="20" applyFont="1" applyAlignment="1">
      <alignment horizontal="center" vertical="center"/>
    </xf>
    <xf numFmtId="166" fontId="0" fillId="0" borderId="0" xfId="15" applyFont="1" applyFill="1" applyAlignment="1">
      <alignment vertical="center"/>
    </xf>
    <xf numFmtId="49" fontId="8" fillId="0" borderId="0" xfId="0" applyNumberFormat="1" applyFont="1" applyAlignment="1">
      <alignment vertical="center"/>
    </xf>
    <xf numFmtId="0" fontId="8" fillId="0" borderId="0" xfId="0" applyFont="1" applyAlignment="1">
      <alignment vertical="center"/>
    </xf>
    <xf numFmtId="49" fontId="8" fillId="0" borderId="18" xfId="0" applyNumberFormat="1" applyFont="1" applyBorder="1" applyAlignment="1">
      <alignment vertical="center"/>
    </xf>
    <xf numFmtId="49" fontId="8" fillId="0" borderId="34" xfId="0" applyNumberFormat="1" applyFont="1" applyBorder="1" applyAlignment="1">
      <alignment vertical="center"/>
    </xf>
    <xf numFmtId="0" fontId="8" fillId="0" borderId="34" xfId="0" applyFont="1" applyBorder="1" applyAlignment="1">
      <alignment vertical="center"/>
    </xf>
    <xf numFmtId="0" fontId="8" fillId="0" borderId="0" xfId="27" applyFont="1" applyAlignment="1">
      <alignment vertical="center"/>
    </xf>
    <xf numFmtId="0" fontId="1" fillId="0" borderId="0" xfId="27" applyAlignment="1">
      <alignment vertical="center"/>
    </xf>
    <xf numFmtId="4" fontId="31" fillId="0" borderId="6" xfId="27" applyNumberFormat="1" applyFont="1" applyBorder="1" applyAlignment="1">
      <alignment horizontal="center" vertical="center"/>
    </xf>
    <xf numFmtId="0" fontId="31" fillId="0" borderId="0" xfId="27" applyFont="1" applyAlignment="1">
      <alignment horizontal="center" vertical="center"/>
    </xf>
    <xf numFmtId="4" fontId="31" fillId="0" borderId="0" xfId="27" applyNumberFormat="1" applyFont="1" applyAlignment="1">
      <alignment horizontal="center" vertical="center"/>
    </xf>
    <xf numFmtId="3" fontId="31" fillId="0" borderId="0" xfId="27" applyNumberFormat="1" applyFont="1" applyAlignment="1">
      <alignment horizontal="center" vertical="center"/>
    </xf>
    <xf numFmtId="3" fontId="8" fillId="0" borderId="0" xfId="27" applyNumberFormat="1" applyFont="1" applyAlignment="1">
      <alignment horizontal="right" vertical="center"/>
    </xf>
    <xf numFmtId="3" fontId="31" fillId="0" borderId="0" xfId="27" applyNumberFormat="1" applyFont="1" applyAlignment="1">
      <alignment vertical="center"/>
    </xf>
    <xf numFmtId="10" fontId="31" fillId="0" borderId="7" xfId="27" applyNumberFormat="1" applyFont="1" applyBorder="1" applyAlignment="1">
      <alignment vertical="center"/>
    </xf>
    <xf numFmtId="182" fontId="21" fillId="0" borderId="0" xfId="27" applyNumberFormat="1" applyFont="1" applyAlignment="1">
      <alignment horizontal="center" vertical="center"/>
    </xf>
    <xf numFmtId="3" fontId="8" fillId="0" borderId="0" xfId="27" applyNumberFormat="1" applyFont="1" applyAlignment="1">
      <alignment horizontal="center" vertical="center"/>
    </xf>
    <xf numFmtId="3" fontId="23" fillId="0" borderId="0" xfId="27" applyNumberFormat="1" applyFont="1" applyAlignment="1">
      <alignment horizontal="right" vertical="center"/>
    </xf>
    <xf numFmtId="3" fontId="8" fillId="0" borderId="0" xfId="27" applyNumberFormat="1" applyFont="1" applyAlignment="1">
      <alignment vertical="center"/>
    </xf>
    <xf numFmtId="3" fontId="8" fillId="0" borderId="7" xfId="27" applyNumberFormat="1" applyFont="1" applyBorder="1" applyAlignment="1">
      <alignment vertical="center"/>
    </xf>
    <xf numFmtId="4" fontId="31" fillId="0" borderId="48" xfId="27" applyNumberFormat="1" applyFont="1" applyBorder="1" applyAlignment="1">
      <alignment horizontal="left" vertical="center"/>
    </xf>
    <xf numFmtId="0" fontId="8" fillId="0" borderId="47" xfId="27" applyFont="1" applyBorder="1" applyAlignment="1">
      <alignment vertical="center"/>
    </xf>
    <xf numFmtId="4" fontId="21" fillId="6" borderId="49" xfId="27" applyNumberFormat="1" applyFont="1" applyFill="1" applyBorder="1" applyAlignment="1">
      <alignment horizontal="center" vertical="center"/>
    </xf>
    <xf numFmtId="0" fontId="1" fillId="0" borderId="0" xfId="27" applyAlignment="1">
      <alignment horizontal="center" vertical="center"/>
    </xf>
    <xf numFmtId="3" fontId="31" fillId="0" borderId="0" xfId="27" applyNumberFormat="1" applyFont="1" applyAlignment="1">
      <alignment horizontal="right" vertical="center"/>
    </xf>
    <xf numFmtId="3" fontId="31" fillId="0" borderId="7" xfId="27" applyNumberFormat="1" applyFont="1" applyBorder="1" applyAlignment="1">
      <alignment horizontal="center" vertical="center" wrapText="1"/>
    </xf>
    <xf numFmtId="4" fontId="31" fillId="0" borderId="6" xfId="27" applyNumberFormat="1" applyFont="1" applyBorder="1" applyAlignment="1">
      <alignment horizontal="left" vertical="center"/>
    </xf>
    <xf numFmtId="4" fontId="21" fillId="0" borderId="0" xfId="27" applyNumberFormat="1" applyFont="1" applyAlignment="1">
      <alignment horizontal="center" vertical="center"/>
    </xf>
    <xf numFmtId="0" fontId="21" fillId="0" borderId="0" xfId="27" applyFont="1" applyAlignment="1">
      <alignment horizontal="center" vertical="center" wrapText="1"/>
    </xf>
    <xf numFmtId="10" fontId="8" fillId="0" borderId="0" xfId="27" applyNumberFormat="1" applyFont="1" applyAlignment="1">
      <alignment vertical="center"/>
    </xf>
    <xf numFmtId="0" fontId="28" fillId="0" borderId="0" xfId="27" applyFont="1" applyAlignment="1">
      <alignment vertical="center"/>
    </xf>
    <xf numFmtId="4" fontId="8" fillId="0" borderId="6" xfId="27" applyNumberFormat="1" applyFont="1" applyBorder="1" applyAlignment="1">
      <alignment horizontal="center" vertical="center"/>
    </xf>
    <xf numFmtId="0" fontId="8" fillId="0" borderId="0" xfId="25" applyAlignment="1">
      <alignment vertical="center"/>
    </xf>
    <xf numFmtId="0" fontId="8" fillId="0" borderId="0" xfId="25" applyAlignment="1">
      <alignment horizontal="center" vertical="center"/>
    </xf>
    <xf numFmtId="4" fontId="8" fillId="0" borderId="0" xfId="25" applyNumberFormat="1" applyAlignment="1">
      <alignment horizontal="center" vertical="center"/>
    </xf>
    <xf numFmtId="9" fontId="8" fillId="0" borderId="0" xfId="26" applyFont="1" applyFill="1" applyBorder="1" applyAlignment="1">
      <alignment horizontal="center" vertical="center"/>
    </xf>
    <xf numFmtId="3" fontId="8" fillId="0" borderId="0" xfId="25" applyNumberFormat="1" applyAlignment="1">
      <alignment horizontal="center" vertical="center"/>
    </xf>
    <xf numFmtId="10" fontId="8" fillId="0" borderId="0" xfId="25" applyNumberFormat="1" applyAlignment="1">
      <alignment horizontal="center" vertical="center"/>
    </xf>
    <xf numFmtId="3" fontId="8" fillId="0" borderId="0" xfId="25" applyNumberFormat="1" applyAlignment="1">
      <alignment horizontal="right" vertical="center"/>
    </xf>
    <xf numFmtId="10" fontId="8" fillId="0" borderId="7" xfId="27" applyNumberFormat="1" applyFont="1" applyBorder="1" applyAlignment="1">
      <alignment vertical="center"/>
    </xf>
    <xf numFmtId="0" fontId="31" fillId="0" borderId="0" xfId="27" applyFont="1" applyAlignment="1">
      <alignment vertical="center"/>
    </xf>
    <xf numFmtId="183" fontId="8" fillId="0" borderId="0" xfId="27" applyNumberFormat="1" applyFont="1" applyAlignment="1">
      <alignment vertical="center"/>
    </xf>
    <xf numFmtId="0" fontId="1" fillId="0" borderId="0" xfId="27" applyAlignment="1">
      <alignment horizontal="right" vertical="center"/>
    </xf>
    <xf numFmtId="10" fontId="8" fillId="0" borderId="0" xfId="2" applyNumberFormat="1" applyFont="1" applyAlignment="1">
      <alignment vertical="center"/>
    </xf>
    <xf numFmtId="0" fontId="21" fillId="0" borderId="0" xfId="0" applyFont="1" applyAlignment="1">
      <alignment vertical="center"/>
    </xf>
    <xf numFmtId="0" fontId="29" fillId="0" borderId="0" xfId="0" applyFont="1" applyAlignment="1">
      <alignment vertical="center"/>
    </xf>
    <xf numFmtId="0" fontId="20" fillId="0" borderId="0" xfId="20" applyFont="1" applyAlignment="1">
      <alignment horizontal="center" vertical="center" wrapText="1"/>
    </xf>
    <xf numFmtId="185" fontId="21" fillId="0" borderId="0" xfId="23" applyNumberFormat="1" applyFont="1" applyAlignment="1">
      <alignment horizontal="center" vertical="center" wrapText="1"/>
    </xf>
    <xf numFmtId="185" fontId="8" fillId="0" borderId="0" xfId="23" applyNumberFormat="1" applyFont="1" applyBorder="1" applyAlignment="1">
      <alignment vertical="center"/>
    </xf>
    <xf numFmtId="185" fontId="0" fillId="0" borderId="0" xfId="23" applyNumberFormat="1" applyFont="1" applyAlignment="1">
      <alignment vertical="center"/>
    </xf>
    <xf numFmtId="185" fontId="8" fillId="0" borderId="34" xfId="23" applyNumberFormat="1" applyFont="1" applyBorder="1" applyAlignment="1">
      <alignment vertical="center"/>
    </xf>
    <xf numFmtId="185" fontId="8" fillId="0" borderId="30" xfId="23" applyNumberFormat="1" applyFont="1" applyBorder="1" applyAlignment="1">
      <alignment vertical="center"/>
    </xf>
    <xf numFmtId="0" fontId="8" fillId="2" borderId="0" xfId="0" applyFont="1" applyFill="1" applyAlignment="1">
      <alignment vertical="center"/>
    </xf>
    <xf numFmtId="185" fontId="8" fillId="0" borderId="0" xfId="23" applyNumberFormat="1" applyFont="1" applyFill="1" applyBorder="1" applyAlignment="1">
      <alignment vertical="center"/>
    </xf>
    <xf numFmtId="185" fontId="0" fillId="0" borderId="0" xfId="23" applyNumberFormat="1" applyFont="1" applyFill="1" applyBorder="1" applyAlignment="1">
      <alignment vertical="center"/>
    </xf>
    <xf numFmtId="0" fontId="8" fillId="15" borderId="0" xfId="0" applyFont="1" applyFill="1" applyAlignment="1">
      <alignment vertical="center"/>
    </xf>
    <xf numFmtId="166" fontId="28" fillId="0" borderId="0" xfId="0" applyNumberFormat="1" applyFont="1" applyAlignment="1">
      <alignment vertical="center"/>
    </xf>
    <xf numFmtId="0" fontId="28" fillId="0" borderId="0" xfId="0" applyFont="1" applyAlignment="1">
      <alignment vertical="center"/>
    </xf>
    <xf numFmtId="0" fontId="6" fillId="0" borderId="50" xfId="6" applyFont="1" applyBorder="1" applyAlignment="1">
      <alignment horizontal="center" vertical="center"/>
    </xf>
    <xf numFmtId="0" fontId="6" fillId="0" borderId="50" xfId="6" applyFont="1" applyBorder="1" applyAlignment="1">
      <alignment horizontal="left" vertical="center" wrapText="1"/>
    </xf>
    <xf numFmtId="4" fontId="6" fillId="0" borderId="50" xfId="7" applyNumberFormat="1" applyFont="1" applyBorder="1" applyAlignment="1">
      <alignment vertical="center" wrapText="1"/>
    </xf>
    <xf numFmtId="164" fontId="6" fillId="0" borderId="50" xfId="8" applyNumberFormat="1" applyFont="1" applyBorder="1" applyAlignment="1">
      <alignment horizontal="right" vertical="center" wrapText="1"/>
    </xf>
    <xf numFmtId="165" fontId="6" fillId="0" borderId="50" xfId="8" applyNumberFormat="1" applyFont="1" applyBorder="1" applyAlignment="1">
      <alignment horizontal="right" vertical="center" wrapText="1"/>
    </xf>
    <xf numFmtId="170" fontId="14" fillId="0" borderId="51" xfId="7" applyNumberFormat="1" applyFont="1" applyBorder="1" applyAlignment="1">
      <alignment horizontal="right" vertical="center"/>
    </xf>
    <xf numFmtId="0" fontId="6" fillId="0" borderId="50" xfId="6" applyFont="1" applyBorder="1" applyAlignment="1">
      <alignment horizontal="left" vertical="center"/>
    </xf>
    <xf numFmtId="3" fontId="6" fillId="0" borderId="50" xfId="6" applyNumberFormat="1" applyFont="1" applyBorder="1" applyAlignment="1">
      <alignment horizontal="center" vertical="center"/>
    </xf>
    <xf numFmtId="0" fontId="6" fillId="0" borderId="50" xfId="5" applyFont="1" applyBorder="1" applyAlignment="1">
      <alignment horizontal="center" vertical="center"/>
    </xf>
    <xf numFmtId="0" fontId="6" fillId="0" borderId="50" xfId="5" applyFont="1" applyBorder="1" applyAlignment="1">
      <alignment horizontal="left" vertical="center" wrapText="1"/>
    </xf>
    <xf numFmtId="4" fontId="6" fillId="0" borderId="50" xfId="7" applyNumberFormat="1" applyFont="1" applyFill="1" applyBorder="1" applyAlignment="1">
      <alignment vertical="center" wrapText="1"/>
    </xf>
    <xf numFmtId="0" fontId="6" fillId="0" borderId="50" xfId="5" applyFont="1" applyBorder="1" applyAlignment="1">
      <alignment horizontal="center" vertical="center" wrapText="1"/>
    </xf>
    <xf numFmtId="0" fontId="6" fillId="0" borderId="55" xfId="5" applyFont="1" applyBorder="1" applyAlignment="1">
      <alignment horizontal="center" vertical="center"/>
    </xf>
    <xf numFmtId="0" fontId="6" fillId="0" borderId="55" xfId="5" applyFont="1" applyBorder="1" applyAlignment="1">
      <alignment horizontal="left" vertical="center" wrapText="1"/>
    </xf>
    <xf numFmtId="0" fontId="6" fillId="0" borderId="53" xfId="5" applyFont="1" applyBorder="1" applyAlignment="1">
      <alignment horizontal="center" vertical="center"/>
    </xf>
    <xf numFmtId="0" fontId="6" fillId="0" borderId="53" xfId="5" applyFont="1" applyBorder="1" applyAlignment="1">
      <alignment horizontal="left" vertical="center" wrapText="1"/>
    </xf>
    <xf numFmtId="0" fontId="6" fillId="0" borderId="56" xfId="5" applyFont="1" applyBorder="1" applyAlignment="1">
      <alignment horizontal="center" vertical="center"/>
    </xf>
    <xf numFmtId="4" fontId="6" fillId="0" borderId="56" xfId="7" applyNumberFormat="1" applyFont="1" applyBorder="1" applyAlignment="1">
      <alignment vertical="center" wrapText="1"/>
    </xf>
    <xf numFmtId="164" fontId="14" fillId="0" borderId="51" xfId="8" applyNumberFormat="1" applyFont="1" applyBorder="1" applyAlignment="1">
      <alignment horizontal="right" vertical="center" wrapText="1"/>
    </xf>
    <xf numFmtId="0" fontId="13" fillId="0" borderId="52" xfId="11" applyFont="1" applyBorder="1" applyAlignment="1">
      <alignment horizontal="left" vertical="center"/>
    </xf>
    <xf numFmtId="9" fontId="6" fillId="0" borderId="53" xfId="12" applyNumberFormat="1" applyFont="1" applyBorder="1" applyAlignment="1">
      <alignment horizontal="center" vertical="center"/>
    </xf>
    <xf numFmtId="174" fontId="6" fillId="0" borderId="53" xfId="12" applyNumberFormat="1" applyFont="1" applyBorder="1" applyAlignment="1">
      <alignment vertical="center"/>
    </xf>
    <xf numFmtId="0" fontId="6" fillId="0" borderId="56" xfId="11" applyFont="1" applyBorder="1" applyAlignment="1">
      <alignment vertical="center"/>
    </xf>
    <xf numFmtId="175" fontId="15" fillId="0" borderId="51" xfId="12" applyNumberFormat="1" applyFont="1" applyBorder="1" applyAlignment="1">
      <alignment vertical="center"/>
    </xf>
    <xf numFmtId="172" fontId="13" fillId="2" borderId="50" xfId="13" applyNumberFormat="1" applyFont="1" applyFill="1" applyBorder="1" applyAlignment="1">
      <alignment horizontal="center" vertical="center"/>
    </xf>
    <xf numFmtId="9" fontId="6" fillId="3" borderId="51" xfId="2" applyFont="1" applyFill="1" applyBorder="1" applyAlignment="1">
      <alignment horizontal="center" vertical="center"/>
    </xf>
    <xf numFmtId="0" fontId="13" fillId="2" borderId="59" xfId="4" applyFont="1" applyFill="1" applyBorder="1" applyAlignment="1">
      <alignment horizontal="center" vertical="center" wrapText="1"/>
    </xf>
    <xf numFmtId="49" fontId="6" fillId="0" borderId="50" xfId="6" applyNumberFormat="1" applyFont="1" applyBorder="1" applyAlignment="1">
      <alignment horizontal="center" vertical="center"/>
    </xf>
    <xf numFmtId="170" fontId="14" fillId="0" borderId="54" xfId="7" applyNumberFormat="1" applyFont="1" applyBorder="1" applyAlignment="1">
      <alignment horizontal="right" vertical="center"/>
    </xf>
    <xf numFmtId="49" fontId="6" fillId="0" borderId="50" xfId="5" applyNumberFormat="1" applyFont="1" applyBorder="1" applyAlignment="1">
      <alignment horizontal="center" vertical="center"/>
    </xf>
    <xf numFmtId="167" fontId="7" fillId="0" borderId="56" xfId="1" applyFont="1" applyBorder="1"/>
    <xf numFmtId="3" fontId="6" fillId="0" borderId="50" xfId="5" applyNumberFormat="1" applyFont="1" applyBorder="1" applyAlignment="1">
      <alignment horizontal="center" vertical="center"/>
    </xf>
    <xf numFmtId="49" fontId="6" fillId="0" borderId="55" xfId="5" applyNumberFormat="1" applyFont="1" applyBorder="1" applyAlignment="1">
      <alignment horizontal="center" vertical="center"/>
    </xf>
    <xf numFmtId="4" fontId="6" fillId="0" borderId="53" xfId="7" applyNumberFormat="1" applyFont="1" applyBorder="1" applyAlignment="1">
      <alignment vertical="center" wrapText="1"/>
    </xf>
    <xf numFmtId="167" fontId="7" fillId="0" borderId="62" xfId="1" applyFont="1" applyBorder="1"/>
    <xf numFmtId="4" fontId="6" fillId="0" borderId="62" xfId="7" applyNumberFormat="1" applyFont="1" applyBorder="1" applyAlignment="1">
      <alignment vertical="center" wrapText="1"/>
    </xf>
    <xf numFmtId="10" fontId="6" fillId="4" borderId="51" xfId="2" applyNumberFormat="1" applyFont="1" applyFill="1" applyBorder="1" applyAlignment="1">
      <alignment horizontal="center" vertical="center"/>
    </xf>
    <xf numFmtId="49" fontId="24" fillId="8" borderId="50" xfId="20" applyNumberFormat="1" applyFont="1" applyFill="1" applyBorder="1" applyAlignment="1" applyProtection="1">
      <alignment horizontal="center" vertical="center" wrapText="1"/>
      <protection hidden="1"/>
    </xf>
    <xf numFmtId="0" fontId="24" fillId="8" borderId="50" xfId="20" applyFont="1" applyFill="1" applyBorder="1" applyAlignment="1" applyProtection="1">
      <alignment horizontal="center" vertical="center" wrapText="1"/>
      <protection hidden="1"/>
    </xf>
    <xf numFmtId="180" fontId="24" fillId="8" borderId="50" xfId="20" applyNumberFormat="1" applyFont="1" applyFill="1" applyBorder="1" applyAlignment="1" applyProtection="1">
      <alignment horizontal="center" vertical="center" wrapText="1"/>
      <protection hidden="1"/>
    </xf>
    <xf numFmtId="185" fontId="24" fillId="8" borderId="50" xfId="23" applyNumberFormat="1" applyFont="1" applyFill="1" applyBorder="1" applyAlignment="1" applyProtection="1">
      <alignment horizontal="center" vertical="center" wrapText="1"/>
      <protection hidden="1"/>
    </xf>
    <xf numFmtId="0" fontId="21" fillId="9" borderId="50" xfId="0" applyFont="1" applyFill="1" applyBorder="1" applyAlignment="1">
      <alignment vertical="center"/>
    </xf>
    <xf numFmtId="185" fontId="21" fillId="9" borderId="50" xfId="23" applyNumberFormat="1" applyFont="1" applyFill="1" applyBorder="1" applyAlignment="1">
      <alignment vertical="center"/>
    </xf>
    <xf numFmtId="0" fontId="0" fillId="0" borderId="50" xfId="0" applyBorder="1" applyAlignment="1">
      <alignment vertical="center"/>
    </xf>
    <xf numFmtId="185" fontId="0" fillId="0" borderId="50" xfId="23" applyNumberFormat="1" applyFont="1" applyBorder="1" applyAlignment="1">
      <alignment vertical="center"/>
    </xf>
    <xf numFmtId="0" fontId="8" fillId="0" borderId="50" xfId="0" applyFont="1" applyBorder="1" applyAlignment="1">
      <alignment vertical="center"/>
    </xf>
    <xf numFmtId="0" fontId="21" fillId="9" borderId="50" xfId="0" applyFont="1" applyFill="1" applyBorder="1" applyAlignment="1">
      <alignment vertical="center" wrapText="1"/>
    </xf>
    <xf numFmtId="185" fontId="8" fillId="0" borderId="50" xfId="23" applyNumberFormat="1" applyFont="1" applyFill="1" applyBorder="1" applyAlignment="1">
      <alignment vertical="center"/>
    </xf>
    <xf numFmtId="0" fontId="8" fillId="0" borderId="55" xfId="0" applyFont="1" applyBorder="1" applyAlignment="1">
      <alignment vertical="center"/>
    </xf>
    <xf numFmtId="0" fontId="0" fillId="2" borderId="50" xfId="0" applyFill="1" applyBorder="1" applyAlignment="1">
      <alignment vertical="center"/>
    </xf>
    <xf numFmtId="185" fontId="0" fillId="2" borderId="50" xfId="23" applyNumberFormat="1" applyFont="1" applyFill="1" applyBorder="1" applyAlignment="1">
      <alignment vertical="center"/>
    </xf>
    <xf numFmtId="0" fontId="8" fillId="2" borderId="50" xfId="0" applyFont="1" applyFill="1" applyBorder="1" applyAlignment="1">
      <alignment vertical="center"/>
    </xf>
    <xf numFmtId="0" fontId="8" fillId="2" borderId="55" xfId="0" applyFont="1" applyFill="1" applyBorder="1" applyAlignment="1">
      <alignment vertical="center"/>
    </xf>
    <xf numFmtId="0" fontId="0" fillId="15" borderId="50" xfId="0" applyFill="1" applyBorder="1" applyAlignment="1">
      <alignment vertical="center"/>
    </xf>
    <xf numFmtId="185" fontId="8" fillId="2" borderId="50" xfId="23" applyNumberFormat="1" applyFont="1" applyFill="1" applyBorder="1" applyAlignment="1">
      <alignment vertical="center"/>
    </xf>
    <xf numFmtId="0" fontId="8" fillId="15" borderId="50" xfId="0" applyFont="1" applyFill="1" applyBorder="1" applyAlignment="1">
      <alignment vertical="center"/>
    </xf>
    <xf numFmtId="185" fontId="0" fillId="0" borderId="50" xfId="23" applyNumberFormat="1" applyFont="1" applyFill="1" applyBorder="1" applyAlignment="1">
      <alignment vertical="center"/>
    </xf>
    <xf numFmtId="185" fontId="0" fillId="15" borderId="50" xfId="23" applyNumberFormat="1" applyFont="1" applyFill="1" applyBorder="1" applyAlignment="1">
      <alignment vertical="center"/>
    </xf>
    <xf numFmtId="49" fontId="8" fillId="0" borderId="50" xfId="0" applyNumberFormat="1" applyFont="1" applyBorder="1" applyAlignment="1">
      <alignment vertical="center"/>
    </xf>
    <xf numFmtId="41" fontId="8" fillId="0" borderId="50" xfId="16" applyFont="1" applyFill="1" applyBorder="1" applyAlignment="1">
      <alignment vertical="center"/>
    </xf>
    <xf numFmtId="0" fontId="0" fillId="0" borderId="50" xfId="0" applyBorder="1" applyAlignment="1">
      <alignment vertical="center" wrapText="1"/>
    </xf>
    <xf numFmtId="0" fontId="28" fillId="0" borderId="50" xfId="25" applyFont="1" applyBorder="1" applyAlignment="1">
      <alignment vertical="center"/>
    </xf>
    <xf numFmtId="0" fontId="28" fillId="0" borderId="50" xfId="25" applyFont="1" applyBorder="1" applyAlignment="1">
      <alignment horizontal="center" vertical="center"/>
    </xf>
    <xf numFmtId="4" fontId="28" fillId="0" borderId="50" xfId="25" applyNumberFormat="1" applyFont="1" applyBorder="1" applyAlignment="1">
      <alignment horizontal="center" vertical="center"/>
    </xf>
    <xf numFmtId="9" fontId="28" fillId="0" borderId="50" xfId="26" applyFont="1" applyFill="1" applyBorder="1" applyAlignment="1">
      <alignment horizontal="center" vertical="center"/>
    </xf>
    <xf numFmtId="3" fontId="28" fillId="0" borderId="50" xfId="25" applyNumberFormat="1" applyFont="1" applyBorder="1" applyAlignment="1">
      <alignment horizontal="center" vertical="center"/>
    </xf>
    <xf numFmtId="10" fontId="28" fillId="0" borderId="50" xfId="25" applyNumberFormat="1" applyFont="1" applyBorder="1" applyAlignment="1">
      <alignment horizontal="center" vertical="center"/>
    </xf>
    <xf numFmtId="3" fontId="28" fillId="0" borderId="50" xfId="25" applyNumberFormat="1" applyFont="1" applyBorder="1" applyAlignment="1">
      <alignment horizontal="right" vertical="center"/>
    </xf>
    <xf numFmtId="3" fontId="28" fillId="0" borderId="50" xfId="27" applyNumberFormat="1" applyFont="1" applyBorder="1" applyAlignment="1">
      <alignment vertical="center"/>
    </xf>
    <xf numFmtId="10" fontId="28" fillId="0" borderId="51" xfId="27" applyNumberFormat="1" applyFont="1" applyBorder="1" applyAlignment="1">
      <alignment vertical="center"/>
    </xf>
    <xf numFmtId="0" fontId="8" fillId="0" borderId="50" xfId="25" applyBorder="1" applyAlignment="1">
      <alignment vertical="center"/>
    </xf>
    <xf numFmtId="0" fontId="8" fillId="0" borderId="50" xfId="25" applyBorder="1" applyAlignment="1">
      <alignment horizontal="center" vertical="center"/>
    </xf>
    <xf numFmtId="9" fontId="8" fillId="0" borderId="50" xfId="26" applyFont="1" applyFill="1" applyBorder="1" applyAlignment="1">
      <alignment horizontal="center" vertical="center"/>
    </xf>
    <xf numFmtId="3" fontId="8" fillId="0" borderId="50" xfId="25" applyNumberFormat="1" applyBorder="1" applyAlignment="1">
      <alignment horizontal="center" vertical="center"/>
    </xf>
    <xf numFmtId="10" fontId="8" fillId="0" borderId="50" xfId="25" applyNumberFormat="1" applyBorder="1" applyAlignment="1">
      <alignment horizontal="center" vertical="center"/>
    </xf>
    <xf numFmtId="3" fontId="8" fillId="0" borderId="50" xfId="25" applyNumberFormat="1" applyBorder="1" applyAlignment="1">
      <alignment horizontal="right" vertical="center"/>
    </xf>
    <xf numFmtId="3" fontId="8" fillId="0" borderId="50" xfId="27" applyNumberFormat="1" applyFont="1" applyBorder="1" applyAlignment="1">
      <alignment vertical="center"/>
    </xf>
    <xf numFmtId="10" fontId="8" fillId="0" borderId="51" xfId="27" applyNumberFormat="1" applyFont="1" applyBorder="1" applyAlignment="1">
      <alignment vertical="center"/>
    </xf>
    <xf numFmtId="9" fontId="8" fillId="0" borderId="50" xfId="26" applyFont="1" applyBorder="1" applyAlignment="1">
      <alignment horizontal="center" vertical="center"/>
    </xf>
    <xf numFmtId="0" fontId="28" fillId="0" borderId="50" xfId="25" applyFont="1" applyBorder="1" applyAlignment="1">
      <alignment vertical="center" wrapText="1"/>
    </xf>
    <xf numFmtId="4" fontId="8" fillId="0" borderId="50" xfId="25" applyNumberFormat="1" applyBorder="1" applyAlignment="1">
      <alignment horizontal="center" vertical="center"/>
    </xf>
    <xf numFmtId="0" fontId="8" fillId="2" borderId="50" xfId="25" applyFill="1" applyBorder="1" applyAlignment="1">
      <alignment horizontal="center" vertical="center"/>
    </xf>
    <xf numFmtId="4" fontId="8" fillId="2" borderId="50" xfId="25" applyNumberFormat="1" applyFill="1" applyBorder="1" applyAlignment="1">
      <alignment horizontal="center" vertical="center"/>
    </xf>
    <xf numFmtId="3" fontId="21" fillId="9" borderId="50" xfId="0" applyNumberFormat="1" applyFont="1" applyFill="1" applyBorder="1" applyAlignment="1">
      <alignment vertical="center"/>
    </xf>
    <xf numFmtId="49" fontId="21" fillId="9" borderId="50" xfId="0" applyNumberFormat="1" applyFont="1" applyFill="1" applyBorder="1" applyAlignment="1">
      <alignment vertical="center"/>
    </xf>
    <xf numFmtId="10" fontId="8" fillId="15" borderId="0" xfId="2" applyNumberFormat="1" applyFont="1" applyFill="1" applyAlignment="1">
      <alignment vertical="center"/>
    </xf>
    <xf numFmtId="166" fontId="0" fillId="15" borderId="0" xfId="15" applyFont="1" applyFill="1" applyAlignment="1">
      <alignment vertical="center"/>
    </xf>
    <xf numFmtId="0" fontId="40" fillId="15" borderId="0" xfId="0" applyFont="1" applyFill="1"/>
    <xf numFmtId="0" fontId="40" fillId="15" borderId="30" xfId="0" applyFont="1" applyFill="1" applyBorder="1"/>
    <xf numFmtId="0" fontId="0" fillId="15" borderId="0" xfId="0" applyFill="1" applyAlignment="1">
      <alignment vertical="center"/>
    </xf>
    <xf numFmtId="185" fontId="0" fillId="15" borderId="0" xfId="23" applyNumberFormat="1" applyFont="1" applyFill="1" applyAlignment="1">
      <alignment vertical="center"/>
    </xf>
    <xf numFmtId="0" fontId="0" fillId="15" borderId="0" xfId="0" applyFill="1"/>
    <xf numFmtId="0" fontId="13" fillId="5" borderId="63" xfId="5" applyFont="1" applyFill="1" applyBorder="1" applyAlignment="1">
      <alignment vertical="center"/>
    </xf>
    <xf numFmtId="0" fontId="13" fillId="5" borderId="64" xfId="5" applyFont="1" applyFill="1" applyBorder="1" applyAlignment="1">
      <alignment vertical="center"/>
    </xf>
    <xf numFmtId="0" fontId="13" fillId="5" borderId="69" xfId="5" applyFont="1" applyFill="1" applyBorder="1" applyAlignment="1">
      <alignment vertical="center"/>
    </xf>
    <xf numFmtId="0" fontId="13" fillId="5" borderId="65" xfId="5" applyFont="1" applyFill="1" applyBorder="1" applyAlignment="1">
      <alignment vertical="center"/>
    </xf>
    <xf numFmtId="171" fontId="15" fillId="5" borderId="65" xfId="5" applyNumberFormat="1" applyFont="1" applyFill="1" applyBorder="1" applyAlignment="1">
      <alignment vertical="center"/>
    </xf>
    <xf numFmtId="0" fontId="17" fillId="0" borderId="76" xfId="11" applyFont="1" applyBorder="1" applyAlignment="1">
      <alignment horizontal="right" vertical="center"/>
    </xf>
    <xf numFmtId="174" fontId="6" fillId="0" borderId="72" xfId="12" applyNumberFormat="1" applyFont="1" applyBorder="1" applyAlignment="1">
      <alignment vertical="center"/>
    </xf>
    <xf numFmtId="172" fontId="13" fillId="2" borderId="72" xfId="13" applyNumberFormat="1" applyFont="1" applyFill="1" applyBorder="1" applyAlignment="1">
      <alignment horizontal="center" vertical="center"/>
    </xf>
    <xf numFmtId="164" fontId="6" fillId="0" borderId="76" xfId="8" applyNumberFormat="1" applyFont="1" applyBorder="1" applyAlignment="1">
      <alignment horizontal="right" vertical="center" wrapText="1"/>
    </xf>
    <xf numFmtId="164" fontId="6" fillId="0" borderId="72" xfId="8" applyNumberFormat="1" applyFont="1" applyBorder="1" applyAlignment="1">
      <alignment horizontal="right" vertical="center" wrapText="1"/>
    </xf>
    <xf numFmtId="0" fontId="6" fillId="0" borderId="70" xfId="5" applyFont="1" applyBorder="1" applyAlignment="1">
      <alignment horizontal="center" vertical="center"/>
    </xf>
    <xf numFmtId="49" fontId="6" fillId="0" borderId="71" xfId="5" applyNumberFormat="1" applyFont="1" applyBorder="1" applyAlignment="1">
      <alignment horizontal="center" vertical="center"/>
    </xf>
    <xf numFmtId="0" fontId="6" fillId="0" borderId="71" xfId="5" applyFont="1" applyBorder="1" applyAlignment="1">
      <alignment horizontal="left" vertical="center" wrapText="1"/>
    </xf>
    <xf numFmtId="164" fontId="6" fillId="0" borderId="77" xfId="8" applyNumberFormat="1" applyFont="1" applyBorder="1" applyAlignment="1">
      <alignment horizontal="right" vertical="center" wrapText="1"/>
    </xf>
    <xf numFmtId="164" fontId="6" fillId="0" borderId="71" xfId="8" applyNumberFormat="1" applyFont="1" applyBorder="1" applyAlignment="1">
      <alignment horizontal="right" vertical="center" wrapText="1"/>
    </xf>
    <xf numFmtId="0" fontId="21" fillId="0" borderId="66" xfId="20" applyFont="1" applyBorder="1" applyAlignment="1">
      <alignment horizontal="left" vertical="center"/>
    </xf>
    <xf numFmtId="0" fontId="21" fillId="0" borderId="67" xfId="20" applyFont="1" applyBorder="1" applyAlignment="1">
      <alignment horizontal="left" vertical="center"/>
    </xf>
    <xf numFmtId="185" fontId="21" fillId="0" borderId="67" xfId="23" applyNumberFormat="1" applyFont="1" applyBorder="1" applyAlignment="1">
      <alignment horizontal="left" vertical="center"/>
    </xf>
    <xf numFmtId="4" fontId="21" fillId="6" borderId="78" xfId="27" applyNumberFormat="1" applyFont="1" applyFill="1" applyBorder="1" applyAlignment="1">
      <alignment horizontal="center" vertical="center"/>
    </xf>
    <xf numFmtId="4" fontId="21" fillId="0" borderId="79" xfId="27" applyNumberFormat="1" applyFont="1" applyBorder="1" applyAlignment="1">
      <alignment horizontal="center" vertical="center"/>
    </xf>
    <xf numFmtId="0" fontId="35" fillId="12" borderId="80" xfId="27" applyFont="1" applyFill="1" applyBorder="1" applyAlignment="1">
      <alignment horizontal="center" vertical="center"/>
    </xf>
    <xf numFmtId="0" fontId="31" fillId="0" borderId="80" xfId="27" applyFont="1" applyBorder="1" applyAlignment="1">
      <alignment horizontal="center" vertical="center"/>
    </xf>
    <xf numFmtId="4" fontId="31" fillId="0" borderId="80" xfId="27" applyNumberFormat="1" applyFont="1" applyBorder="1" applyAlignment="1">
      <alignment horizontal="center" vertical="center"/>
    </xf>
    <xf numFmtId="3" fontId="31" fillId="0" borderId="80" xfId="27" applyNumberFormat="1" applyFont="1" applyBorder="1" applyAlignment="1">
      <alignment horizontal="center" vertical="center"/>
    </xf>
    <xf numFmtId="3" fontId="31" fillId="0" borderId="80" xfId="27" applyNumberFormat="1" applyFont="1" applyBorder="1" applyAlignment="1">
      <alignment horizontal="right" vertical="center"/>
    </xf>
    <xf numFmtId="3" fontId="21" fillId="0" borderId="80" xfId="27" applyNumberFormat="1" applyFont="1" applyBorder="1" applyAlignment="1">
      <alignment vertical="center"/>
    </xf>
    <xf numFmtId="10" fontId="21" fillId="0" borderId="81" xfId="27" applyNumberFormat="1" applyFont="1" applyBorder="1" applyAlignment="1">
      <alignment vertical="center"/>
    </xf>
    <xf numFmtId="4" fontId="28" fillId="0" borderId="82" xfId="27" applyNumberFormat="1" applyFont="1" applyBorder="1" applyAlignment="1">
      <alignment horizontal="center" vertical="center"/>
    </xf>
    <xf numFmtId="4" fontId="8" fillId="0" borderId="82" xfId="27" applyNumberFormat="1" applyFont="1" applyBorder="1" applyAlignment="1">
      <alignment horizontal="center" vertical="center"/>
    </xf>
    <xf numFmtId="0" fontId="21" fillId="6" borderId="80" xfId="27" applyFont="1" applyFill="1" applyBorder="1" applyAlignment="1">
      <alignment horizontal="center" vertical="center"/>
    </xf>
    <xf numFmtId="4" fontId="8" fillId="0" borderId="80" xfId="27" applyNumberFormat="1" applyFont="1" applyBorder="1" applyAlignment="1">
      <alignment horizontal="center" vertical="center"/>
    </xf>
    <xf numFmtId="3" fontId="8" fillId="0" borderId="80" xfId="27" applyNumberFormat="1" applyFont="1" applyBorder="1" applyAlignment="1">
      <alignment horizontal="center" vertical="center"/>
    </xf>
    <xf numFmtId="0" fontId="8" fillId="0" borderId="80" xfId="27" applyFont="1" applyBorder="1" applyAlignment="1">
      <alignment horizontal="center" vertical="center"/>
    </xf>
    <xf numFmtId="3" fontId="8" fillId="0" borderId="80" xfId="27" applyNumberFormat="1" applyFont="1" applyBorder="1" applyAlignment="1">
      <alignment horizontal="right" vertical="center"/>
    </xf>
    <xf numFmtId="3" fontId="8" fillId="0" borderId="80" xfId="27" applyNumberFormat="1" applyFont="1" applyBorder="1" applyAlignment="1">
      <alignment vertical="center"/>
    </xf>
    <xf numFmtId="10" fontId="21" fillId="6" borderId="81" xfId="27" applyNumberFormat="1" applyFont="1" applyFill="1" applyBorder="1" applyAlignment="1">
      <alignment vertical="center"/>
    </xf>
    <xf numFmtId="4" fontId="8" fillId="0" borderId="79" xfId="27" applyNumberFormat="1" applyFont="1" applyBorder="1" applyAlignment="1">
      <alignment horizontal="center" vertical="center"/>
    </xf>
    <xf numFmtId="0" fontId="8" fillId="0" borderId="80" xfId="27" applyFont="1" applyBorder="1" applyAlignment="1">
      <alignment vertical="center"/>
    </xf>
    <xf numFmtId="10" fontId="8" fillId="0" borderId="80" xfId="27" applyNumberFormat="1" applyFont="1" applyBorder="1" applyAlignment="1">
      <alignment horizontal="center" vertical="center"/>
    </xf>
    <xf numFmtId="179" fontId="30" fillId="13" borderId="80" xfId="27" applyNumberFormat="1" applyFont="1" applyFill="1" applyBorder="1" applyAlignment="1">
      <alignment horizontal="center" vertical="center"/>
    </xf>
    <xf numFmtId="10" fontId="8" fillId="0" borderId="81" xfId="27" applyNumberFormat="1" applyFont="1" applyBorder="1" applyAlignment="1">
      <alignment vertical="center"/>
    </xf>
    <xf numFmtId="3" fontId="22" fillId="0" borderId="80" xfId="27" applyNumberFormat="1" applyFont="1" applyBorder="1" applyAlignment="1">
      <alignment horizontal="center" vertical="center"/>
    </xf>
    <xf numFmtId="179" fontId="22" fillId="0" borderId="80" xfId="27" applyNumberFormat="1" applyFont="1" applyBorder="1" applyAlignment="1">
      <alignment horizontal="center" vertical="center"/>
    </xf>
    <xf numFmtId="179" fontId="8" fillId="0" borderId="80" xfId="27" applyNumberFormat="1" applyFont="1" applyBorder="1" applyAlignment="1">
      <alignment horizontal="center" vertical="center"/>
    </xf>
    <xf numFmtId="4" fontId="8" fillId="0" borderId="79" xfId="28" applyNumberFormat="1" applyFont="1" applyBorder="1" applyAlignment="1">
      <alignment horizontal="center" vertical="center"/>
    </xf>
    <xf numFmtId="0" fontId="8" fillId="0" borderId="80" xfId="28" applyFont="1" applyBorder="1" applyAlignment="1">
      <alignment vertical="center"/>
    </xf>
    <xf numFmtId="0" fontId="31" fillId="0" borderId="80" xfId="28" applyFont="1" applyBorder="1" applyAlignment="1">
      <alignment horizontal="center" vertical="center"/>
    </xf>
    <xf numFmtId="10" fontId="8" fillId="0" borderId="80" xfId="28" applyNumberFormat="1" applyFont="1" applyBorder="1" applyAlignment="1">
      <alignment horizontal="center" vertical="center"/>
    </xf>
    <xf numFmtId="4" fontId="8" fillId="0" borderId="80" xfId="28" applyNumberFormat="1" applyFont="1" applyBorder="1" applyAlignment="1">
      <alignment horizontal="center" vertical="center"/>
    </xf>
    <xf numFmtId="3" fontId="8" fillId="0" borderId="80" xfId="28" applyNumberFormat="1" applyFont="1" applyBorder="1" applyAlignment="1">
      <alignment horizontal="center" vertical="center"/>
    </xf>
    <xf numFmtId="179" fontId="22" fillId="0" borderId="80" xfId="28" applyNumberFormat="1" applyFont="1" applyBorder="1" applyAlignment="1">
      <alignment horizontal="center" vertical="center"/>
    </xf>
    <xf numFmtId="3" fontId="8" fillId="0" borderId="80" xfId="28" applyNumberFormat="1" applyFont="1" applyBorder="1" applyAlignment="1">
      <alignment horizontal="right" vertical="center"/>
    </xf>
    <xf numFmtId="3" fontId="8" fillId="0" borderId="80" xfId="28" applyNumberFormat="1" applyFont="1" applyBorder="1" applyAlignment="1">
      <alignment vertical="center"/>
    </xf>
    <xf numFmtId="10" fontId="8" fillId="0" borderId="81" xfId="28" applyNumberFormat="1" applyFont="1" applyBorder="1" applyAlignment="1">
      <alignment vertical="center"/>
    </xf>
    <xf numFmtId="0" fontId="8" fillId="0" borderId="80" xfId="27" applyFont="1" applyBorder="1" applyAlignment="1">
      <alignment vertical="center" wrapText="1"/>
    </xf>
    <xf numFmtId="4" fontId="8" fillId="2" borderId="79" xfId="27" applyNumberFormat="1" applyFont="1" applyFill="1" applyBorder="1" applyAlignment="1">
      <alignment horizontal="center" vertical="center"/>
    </xf>
    <xf numFmtId="0" fontId="31" fillId="2" borderId="80" xfId="27" applyFont="1" applyFill="1" applyBorder="1" applyAlignment="1">
      <alignment horizontal="center" vertical="center"/>
    </xf>
    <xf numFmtId="4"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center" vertical="center"/>
    </xf>
    <xf numFmtId="179"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right" vertical="center"/>
    </xf>
    <xf numFmtId="3" fontId="21" fillId="2" borderId="80" xfId="27" applyNumberFormat="1" applyFont="1" applyFill="1" applyBorder="1" applyAlignment="1">
      <alignment vertical="center"/>
    </xf>
    <xf numFmtId="183" fontId="21" fillId="2" borderId="81" xfId="27" applyNumberFormat="1" applyFont="1" applyFill="1" applyBorder="1" applyAlignment="1">
      <alignment vertical="center"/>
    </xf>
    <xf numFmtId="4" fontId="28" fillId="0" borderId="79" xfId="27" applyNumberFormat="1" applyFont="1" applyBorder="1" applyAlignment="1">
      <alignment horizontal="center" vertical="center"/>
    </xf>
    <xf numFmtId="0" fontId="28" fillId="0" borderId="80" xfId="27" applyFont="1" applyBorder="1" applyAlignment="1">
      <alignment vertical="center"/>
    </xf>
    <xf numFmtId="0" fontId="28" fillId="0" borderId="80" xfId="27" applyFont="1" applyBorder="1" applyAlignment="1">
      <alignment horizontal="center" vertical="center"/>
    </xf>
    <xf numFmtId="4" fontId="28" fillId="0" borderId="80" xfId="27" applyNumberFormat="1" applyFont="1" applyBorder="1" applyAlignment="1">
      <alignment horizontal="center" vertical="center"/>
    </xf>
    <xf numFmtId="10" fontId="36" fillId="0" borderId="80" xfId="27" applyNumberFormat="1" applyFont="1" applyBorder="1" applyAlignment="1">
      <alignment horizontal="center" vertical="center"/>
    </xf>
    <xf numFmtId="3" fontId="28" fillId="0" borderId="80" xfId="27" applyNumberFormat="1" applyFont="1" applyBorder="1" applyAlignment="1">
      <alignment horizontal="center" vertical="center"/>
    </xf>
    <xf numFmtId="179" fontId="28" fillId="0" borderId="80" xfId="27" applyNumberFormat="1" applyFont="1" applyBorder="1" applyAlignment="1">
      <alignment horizontal="center" vertical="center"/>
    </xf>
    <xf numFmtId="3" fontId="28" fillId="0" borderId="80" xfId="27" applyNumberFormat="1" applyFont="1" applyBorder="1" applyAlignment="1">
      <alignment horizontal="right" vertical="center"/>
    </xf>
    <xf numFmtId="3" fontId="28" fillId="0" borderId="80" xfId="27" applyNumberFormat="1" applyFont="1" applyBorder="1" applyAlignment="1">
      <alignment vertical="center"/>
    </xf>
    <xf numFmtId="183" fontId="28" fillId="0" borderId="81" xfId="27" applyNumberFormat="1" applyFont="1" applyBorder="1" applyAlignment="1">
      <alignment vertical="center"/>
    </xf>
    <xf numFmtId="0" fontId="28" fillId="0" borderId="80" xfId="27" applyFont="1" applyBorder="1" applyAlignment="1">
      <alignment vertical="center" wrapText="1"/>
    </xf>
    <xf numFmtId="10" fontId="21" fillId="2" borderId="81" xfId="27" applyNumberFormat="1" applyFont="1" applyFill="1" applyBorder="1" applyAlignment="1">
      <alignment vertical="center"/>
    </xf>
    <xf numFmtId="0" fontId="8" fillId="2" borderId="80" xfId="27" applyFont="1" applyFill="1" applyBorder="1" applyAlignment="1">
      <alignment vertical="center"/>
    </xf>
    <xf numFmtId="10" fontId="8" fillId="2" borderId="80" xfId="27" applyNumberFormat="1" applyFont="1" applyFill="1" applyBorder="1" applyAlignment="1">
      <alignment horizontal="center" vertical="center"/>
    </xf>
    <xf numFmtId="179" fontId="22" fillId="2" borderId="80" xfId="27" applyNumberFormat="1" applyFont="1" applyFill="1" applyBorder="1" applyAlignment="1">
      <alignment horizontal="center" vertical="center"/>
    </xf>
    <xf numFmtId="3" fontId="8" fillId="2" borderId="80" xfId="27" applyNumberFormat="1" applyFont="1" applyFill="1" applyBorder="1" applyAlignment="1">
      <alignment vertical="center"/>
    </xf>
    <xf numFmtId="184" fontId="8" fillId="2" borderId="81" xfId="27" applyNumberFormat="1" applyFont="1" applyFill="1" applyBorder="1" applyAlignment="1">
      <alignment vertical="center"/>
    </xf>
    <xf numFmtId="4" fontId="22" fillId="2" borderId="80" xfId="27" applyNumberFormat="1" applyFont="1" applyFill="1" applyBorder="1" applyAlignment="1">
      <alignment horizontal="center" vertical="center"/>
    </xf>
    <xf numFmtId="3" fontId="22" fillId="2" borderId="80" xfId="27" applyNumberFormat="1" applyFont="1" applyFill="1" applyBorder="1" applyAlignment="1">
      <alignment vertical="center"/>
    </xf>
    <xf numFmtId="0" fontId="21" fillId="0" borderId="80" xfId="27" applyFont="1" applyBorder="1" applyAlignment="1">
      <alignment vertical="center"/>
    </xf>
    <xf numFmtId="10" fontId="21" fillId="7" borderId="80" xfId="27" applyNumberFormat="1" applyFont="1" applyFill="1" applyBorder="1" applyAlignment="1">
      <alignment vertical="center"/>
    </xf>
    <xf numFmtId="10" fontId="8" fillId="0" borderId="83" xfId="27" applyNumberFormat="1" applyFont="1" applyBorder="1" applyAlignment="1">
      <alignment vertical="center"/>
    </xf>
    <xf numFmtId="4" fontId="8" fillId="0" borderId="84" xfId="27" applyNumberFormat="1" applyFont="1" applyBorder="1" applyAlignment="1">
      <alignment horizontal="center" vertical="center"/>
    </xf>
    <xf numFmtId="0" fontId="21" fillId="0" borderId="85" xfId="27" applyFont="1" applyBorder="1" applyAlignment="1">
      <alignment vertical="center"/>
    </xf>
    <xf numFmtId="0" fontId="31" fillId="0" borderId="85" xfId="27" applyFont="1" applyBorder="1" applyAlignment="1">
      <alignment horizontal="center" vertical="center"/>
    </xf>
    <xf numFmtId="4" fontId="8" fillId="0" borderId="85" xfId="27" applyNumberFormat="1" applyFont="1" applyBorder="1" applyAlignment="1">
      <alignment horizontal="center" vertical="center"/>
    </xf>
    <xf numFmtId="3" fontId="8" fillId="0" borderId="85" xfId="27" applyNumberFormat="1" applyFont="1" applyBorder="1" applyAlignment="1">
      <alignment horizontal="center" vertical="center"/>
    </xf>
    <xf numFmtId="0" fontId="8" fillId="0" borderId="85" xfId="27" applyFont="1" applyBorder="1" applyAlignment="1">
      <alignment horizontal="center" vertical="center"/>
    </xf>
    <xf numFmtId="3" fontId="8" fillId="0" borderId="85" xfId="27" applyNumberFormat="1" applyFont="1" applyBorder="1" applyAlignment="1">
      <alignment horizontal="right" vertical="center"/>
    </xf>
    <xf numFmtId="3" fontId="8" fillId="0" borderId="86" xfId="27" applyNumberFormat="1" applyFont="1" applyBorder="1" applyAlignment="1">
      <alignment vertical="center"/>
    </xf>
    <xf numFmtId="185" fontId="0" fillId="0" borderId="87" xfId="23" applyNumberFormat="1" applyFont="1" applyFill="1" applyBorder="1" applyAlignment="1">
      <alignment vertical="center"/>
    </xf>
    <xf numFmtId="41" fontId="8" fillId="0" borderId="87" xfId="16" applyFont="1" applyFill="1" applyBorder="1" applyAlignment="1">
      <alignment vertical="center"/>
    </xf>
    <xf numFmtId="0" fontId="6" fillId="0" borderId="82" xfId="5" applyFont="1" applyBorder="1" applyAlignment="1">
      <alignment horizontal="center" vertical="center"/>
    </xf>
    <xf numFmtId="0" fontId="6" fillId="0" borderId="82" xfId="5" applyFont="1" applyBorder="1" applyAlignment="1">
      <alignment horizontal="left" vertical="center"/>
    </xf>
    <xf numFmtId="4" fontId="32" fillId="0" borderId="88" xfId="27" applyNumberFormat="1" applyFont="1" applyBorder="1" applyAlignment="1">
      <alignment horizontal="left" vertical="center"/>
    </xf>
    <xf numFmtId="0" fontId="8" fillId="0" borderId="90" xfId="27" applyFont="1" applyBorder="1" applyAlignment="1">
      <alignment vertical="center"/>
    </xf>
    <xf numFmtId="181" fontId="34" fillId="0" borderId="90" xfId="27" applyNumberFormat="1" applyFont="1" applyBorder="1" applyAlignment="1">
      <alignment horizontal="center" vertical="center"/>
    </xf>
    <xf numFmtId="4" fontId="21" fillId="11" borderId="90" xfId="27" applyNumberFormat="1" applyFont="1" applyFill="1" applyBorder="1" applyAlignment="1">
      <alignment horizontal="center" vertical="center"/>
    </xf>
    <xf numFmtId="4" fontId="21" fillId="12" borderId="93" xfId="27" applyNumberFormat="1" applyFont="1" applyFill="1" applyBorder="1" applyAlignment="1">
      <alignment horizontal="center" vertical="center" wrapText="1"/>
    </xf>
    <xf numFmtId="0" fontId="21" fillId="12" borderId="94" xfId="27" applyFont="1" applyFill="1" applyBorder="1" applyAlignment="1">
      <alignment horizontal="center" vertical="center"/>
    </xf>
    <xf numFmtId="0" fontId="21" fillId="12" borderId="94" xfId="27" applyFont="1" applyFill="1" applyBorder="1" applyAlignment="1">
      <alignment horizontal="center" vertical="center" wrapText="1"/>
    </xf>
    <xf numFmtId="4" fontId="21" fillId="12" borderId="94" xfId="27" applyNumberFormat="1" applyFont="1" applyFill="1" applyBorder="1" applyAlignment="1">
      <alignment horizontal="center" vertical="center" wrapText="1"/>
    </xf>
    <xf numFmtId="3" fontId="21" fillId="12" borderId="94" xfId="27" applyNumberFormat="1" applyFont="1" applyFill="1" applyBorder="1" applyAlignment="1">
      <alignment horizontal="center" vertical="center" wrapText="1"/>
    </xf>
    <xf numFmtId="10" fontId="21" fillId="12" borderId="95" xfId="27" applyNumberFormat="1" applyFont="1" applyFill="1" applyBorder="1" applyAlignment="1">
      <alignment horizontal="center" vertical="center" wrapText="1"/>
    </xf>
    <xf numFmtId="4" fontId="21" fillId="0" borderId="96" xfId="27" applyNumberFormat="1" applyFont="1" applyBorder="1" applyAlignment="1">
      <alignment horizontal="center" vertical="center"/>
    </xf>
    <xf numFmtId="0" fontId="35" fillId="6" borderId="97" xfId="27" applyFont="1" applyFill="1" applyBorder="1" applyAlignment="1">
      <alignment horizontal="center" vertical="center"/>
    </xf>
    <xf numFmtId="0" fontId="31" fillId="0" borderId="97" xfId="27" applyFont="1" applyBorder="1" applyAlignment="1">
      <alignment horizontal="center" vertical="center"/>
    </xf>
    <xf numFmtId="4" fontId="31" fillId="0" borderId="97" xfId="27" applyNumberFormat="1" applyFont="1" applyBorder="1" applyAlignment="1">
      <alignment horizontal="center" vertical="center"/>
    </xf>
    <xf numFmtId="3" fontId="31" fillId="0" borderId="97" xfId="27" applyNumberFormat="1" applyFont="1" applyBorder="1" applyAlignment="1">
      <alignment horizontal="center" vertical="center"/>
    </xf>
    <xf numFmtId="3" fontId="31" fillId="0" borderId="97" xfId="27" applyNumberFormat="1" applyFont="1" applyBorder="1" applyAlignment="1">
      <alignment horizontal="right" vertical="center"/>
    </xf>
    <xf numFmtId="3" fontId="31" fillId="0" borderId="97" xfId="27" applyNumberFormat="1" applyFont="1" applyBorder="1" applyAlignment="1">
      <alignment vertical="center"/>
    </xf>
    <xf numFmtId="10" fontId="21" fillId="6" borderId="98" xfId="27" applyNumberFormat="1" applyFont="1" applyFill="1" applyBorder="1" applyAlignment="1">
      <alignment vertical="center"/>
    </xf>
    <xf numFmtId="4" fontId="8" fillId="0" borderId="99" xfId="27" applyNumberFormat="1" applyFont="1" applyBorder="1" applyAlignment="1">
      <alignment horizontal="center" vertical="center"/>
    </xf>
    <xf numFmtId="4" fontId="8" fillId="0" borderId="100" xfId="27" applyNumberFormat="1" applyFont="1" applyBorder="1" applyAlignment="1">
      <alignment horizontal="center" vertical="center"/>
    </xf>
    <xf numFmtId="0" fontId="8" fillId="0" borderId="100" xfId="27" applyFont="1" applyBorder="1" applyAlignment="1">
      <alignment horizontal="center" vertical="center"/>
    </xf>
    <xf numFmtId="3" fontId="8" fillId="0" borderId="101" xfId="27" applyNumberFormat="1" applyFont="1" applyBorder="1" applyAlignment="1">
      <alignment horizontal="right" vertical="center"/>
    </xf>
    <xf numFmtId="182" fontId="21" fillId="6" borderId="94" xfId="27" applyNumberFormat="1" applyFont="1" applyFill="1" applyBorder="1" applyAlignment="1">
      <alignment vertical="center"/>
    </xf>
    <xf numFmtId="10" fontId="21" fillId="6" borderId="95" xfId="27" applyNumberFormat="1" applyFont="1" applyFill="1" applyBorder="1" applyAlignment="1">
      <alignment vertical="center"/>
    </xf>
    <xf numFmtId="10" fontId="30" fillId="14" borderId="102" xfId="27" applyNumberFormat="1" applyFont="1" applyFill="1" applyBorder="1" applyAlignment="1">
      <alignment vertical="center"/>
    </xf>
    <xf numFmtId="0" fontId="8" fillId="2" borderId="0" xfId="25" applyFill="1" applyAlignment="1">
      <alignment horizontal="center" vertical="center"/>
    </xf>
    <xf numFmtId="4" fontId="8" fillId="2" borderId="0" xfId="25" applyNumberFormat="1" applyFill="1" applyAlignment="1">
      <alignment horizontal="center" vertical="center"/>
    </xf>
    <xf numFmtId="3" fontId="28" fillId="0" borderId="103" xfId="25" applyNumberFormat="1" applyFont="1" applyBorder="1" applyAlignment="1">
      <alignment horizontal="center" vertical="center"/>
    </xf>
    <xf numFmtId="3" fontId="8" fillId="0" borderId="103" xfId="25" applyNumberFormat="1" applyBorder="1" applyAlignment="1">
      <alignment horizontal="center" vertical="center"/>
    </xf>
    <xf numFmtId="49" fontId="6" fillId="0" borderId="103" xfId="6" applyNumberFormat="1" applyFont="1" applyBorder="1" applyAlignment="1">
      <alignment horizontal="center" vertical="center"/>
    </xf>
    <xf numFmtId="0" fontId="6" fillId="0" borderId="103" xfId="6" applyFont="1" applyBorder="1" applyAlignment="1">
      <alignment horizontal="left" vertical="center" wrapText="1"/>
    </xf>
    <xf numFmtId="0" fontId="6" fillId="0" borderId="103" xfId="6" applyFont="1" applyBorder="1" applyAlignment="1">
      <alignment horizontal="center" vertical="center"/>
    </xf>
    <xf numFmtId="49" fontId="6" fillId="0" borderId="103" xfId="5" applyNumberFormat="1" applyFont="1" applyBorder="1" applyAlignment="1">
      <alignment horizontal="center" vertical="center"/>
    </xf>
    <xf numFmtId="0" fontId="6" fillId="0" borderId="103" xfId="5" applyFont="1" applyBorder="1" applyAlignment="1">
      <alignment horizontal="left" vertical="center" wrapText="1"/>
    </xf>
    <xf numFmtId="0" fontId="6" fillId="0" borderId="0" xfId="0" applyFont="1" applyAlignment="1">
      <alignment horizontal="left" vertical="center" wrapText="1"/>
    </xf>
    <xf numFmtId="164" fontId="6" fillId="0" borderId="32" xfId="8" applyNumberFormat="1" applyFont="1" applyFill="1" applyBorder="1" applyAlignment="1">
      <alignment horizontal="right" vertical="center" wrapText="1"/>
    </xf>
    <xf numFmtId="0" fontId="6" fillId="0" borderId="103" xfId="0" applyFont="1" applyBorder="1" applyAlignment="1">
      <alignment vertical="center" wrapText="1"/>
    </xf>
    <xf numFmtId="0" fontId="8" fillId="0" borderId="103" xfId="0" applyFont="1" applyBorder="1" applyAlignment="1">
      <alignment vertical="center"/>
    </xf>
    <xf numFmtId="185" fontId="0" fillId="0" borderId="0" xfId="23" applyNumberFormat="1" applyFont="1" applyBorder="1" applyAlignment="1">
      <alignment vertical="center"/>
    </xf>
    <xf numFmtId="0" fontId="21" fillId="9" borderId="103" xfId="0" applyFont="1" applyFill="1" applyBorder="1" applyAlignment="1">
      <alignment vertical="center"/>
    </xf>
    <xf numFmtId="0" fontId="21" fillId="9" borderId="103" xfId="0" applyFont="1" applyFill="1" applyBorder="1" applyAlignment="1">
      <alignment vertical="center" wrapText="1"/>
    </xf>
    <xf numFmtId="185" fontId="21" fillId="9" borderId="103" xfId="23" applyNumberFormat="1" applyFont="1" applyFill="1" applyBorder="1" applyAlignment="1">
      <alignment vertical="center"/>
    </xf>
    <xf numFmtId="0" fontId="0" fillId="0" borderId="103" xfId="0" applyBorder="1"/>
    <xf numFmtId="0" fontId="0" fillId="16" borderId="103" xfId="0" applyFill="1" applyBorder="1"/>
    <xf numFmtId="0" fontId="21" fillId="16" borderId="103" xfId="0" applyFont="1" applyFill="1" applyBorder="1"/>
    <xf numFmtId="10" fontId="16" fillId="0" borderId="0" xfId="9" applyNumberFormat="1" applyFont="1"/>
    <xf numFmtId="0" fontId="0" fillId="0" borderId="103" xfId="0" applyBorder="1" applyAlignment="1">
      <alignment vertical="center"/>
    </xf>
    <xf numFmtId="185" fontId="0" fillId="0" borderId="103" xfId="23" applyNumberFormat="1" applyFont="1" applyBorder="1" applyAlignment="1">
      <alignment vertical="center"/>
    </xf>
    <xf numFmtId="185" fontId="0" fillId="0" borderId="103" xfId="23" applyNumberFormat="1" applyFont="1" applyFill="1" applyBorder="1" applyAlignment="1">
      <alignment vertical="center"/>
    </xf>
    <xf numFmtId="0" fontId="0" fillId="0" borderId="8" xfId="0" applyBorder="1" applyAlignment="1">
      <alignment vertical="center"/>
    </xf>
    <xf numFmtId="185" fontId="0" fillId="0" borderId="8" xfId="23" applyNumberFormat="1" applyFont="1" applyBorder="1" applyAlignment="1">
      <alignment vertical="center"/>
    </xf>
    <xf numFmtId="185" fontId="0" fillId="0" borderId="8" xfId="23" applyNumberFormat="1" applyFont="1" applyFill="1" applyBorder="1" applyAlignment="1">
      <alignment vertical="center"/>
    </xf>
    <xf numFmtId="185" fontId="0" fillId="15" borderId="103" xfId="23" applyNumberFormat="1" applyFont="1" applyFill="1" applyBorder="1" applyAlignment="1">
      <alignment vertical="center"/>
    </xf>
    <xf numFmtId="0" fontId="6" fillId="0" borderId="74" xfId="11" applyFont="1" applyBorder="1" applyAlignment="1">
      <alignment horizontal="left" vertical="center" wrapText="1"/>
    </xf>
    <xf numFmtId="0" fontId="6" fillId="0" borderId="75" xfId="11" applyFont="1" applyBorder="1" applyAlignment="1">
      <alignment horizontal="left" vertical="center" wrapText="1"/>
    </xf>
    <xf numFmtId="0" fontId="6" fillId="0" borderId="76" xfId="11" applyFont="1" applyBorder="1" applyAlignment="1">
      <alignment horizontal="left" vertical="center" wrapText="1"/>
    </xf>
    <xf numFmtId="0" fontId="12" fillId="4" borderId="58" xfId="4" applyFont="1" applyFill="1" applyBorder="1" applyAlignment="1">
      <alignment vertical="center" wrapText="1"/>
    </xf>
    <xf numFmtId="0" fontId="12" fillId="4" borderId="59" xfId="4" applyFont="1" applyFill="1" applyBorder="1" applyAlignment="1">
      <alignment vertical="center" wrapText="1"/>
    </xf>
    <xf numFmtId="0" fontId="12" fillId="4" borderId="60" xfId="4" applyFont="1" applyFill="1" applyBorder="1" applyAlignment="1">
      <alignment vertical="center" wrapText="1"/>
    </xf>
    <xf numFmtId="3" fontId="13" fillId="2" borderId="56" xfId="4" applyNumberFormat="1" applyFont="1" applyFill="1" applyBorder="1" applyAlignment="1">
      <alignment horizontal="center" vertical="center"/>
    </xf>
    <xf numFmtId="3" fontId="13" fillId="2" borderId="50" xfId="4" applyNumberFormat="1" applyFont="1" applyFill="1" applyBorder="1" applyAlignment="1">
      <alignment horizontal="center" vertical="center"/>
    </xf>
    <xf numFmtId="0" fontId="12" fillId="4" borderId="23" xfId="4" applyFont="1" applyFill="1" applyBorder="1" applyAlignment="1">
      <alignment vertical="center" wrapText="1"/>
    </xf>
    <xf numFmtId="0" fontId="12" fillId="4" borderId="24" xfId="4" applyFont="1" applyFill="1" applyBorder="1" applyAlignment="1">
      <alignment vertical="center" wrapText="1"/>
    </xf>
    <xf numFmtId="0" fontId="12" fillId="4" borderId="25" xfId="4" applyFont="1" applyFill="1" applyBorder="1" applyAlignment="1">
      <alignment vertical="center" wrapText="1"/>
    </xf>
    <xf numFmtId="0" fontId="6" fillId="2" borderId="25"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12" fillId="4" borderId="82" xfId="4" applyFont="1" applyFill="1" applyBorder="1" applyAlignment="1">
      <alignment vertical="center" wrapText="1"/>
    </xf>
    <xf numFmtId="0" fontId="12" fillId="4" borderId="50" xfId="4" applyFont="1" applyFill="1" applyBorder="1" applyAlignment="1">
      <alignment vertical="center" wrapText="1"/>
    </xf>
    <xf numFmtId="0" fontId="13" fillId="2" borderId="50" xfId="4" applyFont="1" applyFill="1" applyBorder="1" applyAlignment="1">
      <alignment horizontal="center" vertical="center" wrapText="1"/>
    </xf>
    <xf numFmtId="0" fontId="13" fillId="2" borderId="50" xfId="4" applyFont="1" applyFill="1" applyBorder="1" applyAlignment="1">
      <alignment horizontal="center" vertical="center"/>
    </xf>
    <xf numFmtId="0" fontId="12" fillId="4" borderId="57" xfId="0" applyFont="1" applyFill="1" applyBorder="1" applyAlignment="1">
      <alignment vertical="center" wrapText="1"/>
    </xf>
    <xf numFmtId="0" fontId="12" fillId="4" borderId="55" xfId="0" applyFont="1" applyFill="1" applyBorder="1" applyAlignment="1">
      <alignment vertical="center" wrapText="1"/>
    </xf>
    <xf numFmtId="3" fontId="13" fillId="2" borderId="50" xfId="4" applyNumberFormat="1" applyFont="1" applyFill="1" applyBorder="1" applyAlignment="1">
      <alignment horizontal="center" vertical="center" wrapText="1"/>
    </xf>
    <xf numFmtId="0" fontId="12" fillId="4" borderId="70" xfId="4" applyFont="1" applyFill="1" applyBorder="1" applyAlignment="1">
      <alignment vertical="center" wrapText="1"/>
    </xf>
    <xf numFmtId="0" fontId="12" fillId="4" borderId="71" xfId="4" applyFont="1" applyFill="1" applyBorder="1" applyAlignment="1">
      <alignment vertical="center" wrapText="1"/>
    </xf>
    <xf numFmtId="3" fontId="13" fillId="2" borderId="71" xfId="4" applyNumberFormat="1" applyFont="1" applyFill="1" applyBorder="1" applyAlignment="1">
      <alignment horizontal="center" vertical="center" wrapText="1"/>
    </xf>
    <xf numFmtId="0" fontId="9" fillId="0" borderId="40" xfId="0" applyFont="1" applyBorder="1" applyAlignment="1">
      <alignment horizontal="center" wrapText="1"/>
    </xf>
    <xf numFmtId="0" fontId="9" fillId="0" borderId="41" xfId="0" applyFont="1" applyBorder="1" applyAlignment="1">
      <alignment horizontal="center" wrapText="1"/>
    </xf>
    <xf numFmtId="0" fontId="9" fillId="0" borderId="42" xfId="0" applyFont="1" applyBorder="1" applyAlignment="1">
      <alignment horizontal="center" wrapText="1"/>
    </xf>
    <xf numFmtId="0" fontId="13" fillId="2" borderId="71" xfId="5" applyFont="1" applyFill="1" applyBorder="1" applyAlignment="1">
      <alignment horizontal="center" vertical="center" wrapText="1"/>
    </xf>
    <xf numFmtId="0" fontId="13" fillId="2" borderId="10" xfId="5" applyFont="1" applyFill="1" applyBorder="1" applyAlignment="1">
      <alignment horizontal="center" vertical="center" wrapText="1"/>
    </xf>
    <xf numFmtId="4" fontId="13" fillId="2" borderId="71" xfId="5" applyNumberFormat="1" applyFont="1" applyFill="1" applyBorder="1" applyAlignment="1">
      <alignment horizontal="center" vertical="center" wrapText="1"/>
    </xf>
    <xf numFmtId="4" fontId="13" fillId="2" borderId="10" xfId="5" applyNumberFormat="1" applyFont="1" applyFill="1" applyBorder="1" applyAlignment="1">
      <alignment horizontal="center" vertical="center" wrapText="1"/>
    </xf>
    <xf numFmtId="4" fontId="13" fillId="2" borderId="72" xfId="5" applyNumberFormat="1" applyFont="1" applyFill="1" applyBorder="1" applyAlignment="1">
      <alignment horizontal="center" vertical="center" wrapText="1"/>
    </xf>
    <xf numFmtId="4" fontId="13" fillId="2" borderId="11" xfId="5" applyNumberFormat="1" applyFont="1" applyFill="1" applyBorder="1" applyAlignment="1">
      <alignment horizontal="center" vertical="center" wrapText="1"/>
    </xf>
    <xf numFmtId="0" fontId="13" fillId="5" borderId="63" xfId="5" applyFont="1" applyFill="1" applyBorder="1" applyAlignment="1">
      <alignment horizontal="right" vertical="center"/>
    </xf>
    <xf numFmtId="0" fontId="13" fillId="5" borderId="69" xfId="5" applyFont="1" applyFill="1" applyBorder="1" applyAlignment="1">
      <alignment horizontal="right" vertical="center"/>
    </xf>
    <xf numFmtId="0" fontId="13" fillId="5" borderId="73" xfId="5" applyFont="1" applyFill="1" applyBorder="1" applyAlignment="1">
      <alignment horizontal="right" vertical="center"/>
    </xf>
    <xf numFmtId="0" fontId="13" fillId="2" borderId="70" xfId="5" applyFont="1" applyFill="1" applyBorder="1" applyAlignment="1">
      <alignment horizontal="center" vertical="center" wrapText="1"/>
    </xf>
    <xf numFmtId="0" fontId="13" fillId="2" borderId="9" xfId="5" applyFont="1" applyFill="1" applyBorder="1" applyAlignment="1">
      <alignment horizontal="center" vertical="center" wrapText="1"/>
    </xf>
    <xf numFmtId="0" fontId="13" fillId="0" borderId="71" xfId="6" applyFont="1" applyBorder="1" applyAlignment="1">
      <alignment horizontal="center" vertical="center" wrapText="1"/>
    </xf>
    <xf numFmtId="0" fontId="11" fillId="0" borderId="66" xfId="4" applyFont="1" applyBorder="1" applyAlignment="1">
      <alignment horizontal="center" vertical="top"/>
    </xf>
    <xf numFmtId="0" fontId="11" fillId="0" borderId="67" xfId="4" applyFont="1" applyBorder="1" applyAlignment="1">
      <alignment horizontal="center" vertical="top"/>
    </xf>
    <xf numFmtId="0" fontId="11" fillId="0" borderId="68" xfId="4" applyFont="1" applyBorder="1" applyAlignment="1">
      <alignment horizontal="center" vertical="top"/>
    </xf>
    <xf numFmtId="0" fontId="11" fillId="0" borderId="6" xfId="4" applyFont="1" applyBorder="1" applyAlignment="1">
      <alignment horizontal="center"/>
    </xf>
    <xf numFmtId="0" fontId="11" fillId="0" borderId="0" xfId="4" applyFont="1" applyAlignment="1">
      <alignment horizontal="center"/>
    </xf>
    <xf numFmtId="0" fontId="11" fillId="0" borderId="7" xfId="4" applyFont="1" applyBorder="1" applyAlignment="1">
      <alignment horizontal="center"/>
    </xf>
    <xf numFmtId="0" fontId="12" fillId="3" borderId="82" xfId="3" applyFont="1" applyFill="1" applyBorder="1" applyAlignment="1">
      <alignment horizontal="left" vertical="center" wrapText="1"/>
    </xf>
    <xf numFmtId="0" fontId="12" fillId="3" borderId="50" xfId="3" applyFont="1" applyFill="1" applyBorder="1" applyAlignment="1">
      <alignment horizontal="left" vertical="center" wrapText="1"/>
    </xf>
    <xf numFmtId="0" fontId="12" fillId="3" borderId="51" xfId="3" applyFont="1" applyFill="1" applyBorder="1" applyAlignment="1">
      <alignment horizontal="left" vertical="center" wrapText="1"/>
    </xf>
    <xf numFmtId="0" fontId="12" fillId="4" borderId="52" xfId="3" applyFont="1" applyFill="1" applyBorder="1" applyAlignment="1">
      <alignment horizontal="center" vertical="center" wrapText="1"/>
    </xf>
    <xf numFmtId="0" fontId="12" fillId="4" borderId="53" xfId="3" applyFont="1" applyFill="1" applyBorder="1" applyAlignment="1">
      <alignment horizontal="center" vertical="center" wrapText="1"/>
    </xf>
    <xf numFmtId="0" fontId="12" fillId="4" borderId="54" xfId="3" applyFont="1" applyFill="1" applyBorder="1" applyAlignment="1">
      <alignment horizontal="center" vertical="center" wrapText="1"/>
    </xf>
    <xf numFmtId="0" fontId="13" fillId="5" borderId="63" xfId="5" applyFont="1" applyFill="1" applyBorder="1" applyAlignment="1">
      <alignment horizontal="center" vertical="center" wrapText="1"/>
    </xf>
    <xf numFmtId="0" fontId="13" fillId="5" borderId="69" xfId="5" applyFont="1" applyFill="1" applyBorder="1" applyAlignment="1">
      <alignment horizontal="center" vertical="center" wrapText="1"/>
    </xf>
    <xf numFmtId="0" fontId="13" fillId="5" borderId="65" xfId="5" applyFont="1" applyFill="1" applyBorder="1" applyAlignment="1">
      <alignment horizontal="center" vertical="center" wrapText="1"/>
    </xf>
    <xf numFmtId="0" fontId="9" fillId="0" borderId="37" xfId="0" applyFont="1" applyBorder="1" applyAlignment="1">
      <alignment horizontal="center" wrapText="1"/>
    </xf>
    <xf numFmtId="0" fontId="9" fillId="0" borderId="38" xfId="0" applyFont="1" applyBorder="1" applyAlignment="1">
      <alignment horizontal="center" wrapText="1"/>
    </xf>
    <xf numFmtId="0" fontId="11" fillId="0" borderId="61" xfId="4" applyFont="1" applyBorder="1" applyAlignment="1">
      <alignment horizontal="center" vertical="top"/>
    </xf>
    <xf numFmtId="0" fontId="11" fillId="0" borderId="59" xfId="4" applyFont="1" applyBorder="1" applyAlignment="1">
      <alignment horizontal="center" vertical="top"/>
    </xf>
    <xf numFmtId="0" fontId="11" fillId="0" borderId="60" xfId="4" applyFont="1" applyBorder="1" applyAlignment="1">
      <alignment horizontal="center" vertical="top"/>
    </xf>
    <xf numFmtId="0" fontId="11" fillId="0" borderId="31" xfId="4" applyFont="1" applyBorder="1" applyAlignment="1">
      <alignment horizontal="center"/>
    </xf>
    <xf numFmtId="0" fontId="11" fillId="0" borderId="32" xfId="4" applyFont="1" applyBorder="1" applyAlignment="1">
      <alignment horizontal="center"/>
    </xf>
    <xf numFmtId="0" fontId="11" fillId="0" borderId="35" xfId="4" applyFont="1" applyBorder="1" applyAlignment="1">
      <alignment horizontal="center"/>
    </xf>
    <xf numFmtId="0" fontId="12" fillId="3" borderId="8" xfId="3" applyFont="1" applyFill="1" applyBorder="1" applyAlignment="1">
      <alignment horizontal="left" vertical="center" wrapText="1"/>
    </xf>
    <xf numFmtId="0" fontId="12" fillId="4" borderId="62" xfId="3" applyFont="1" applyFill="1" applyBorder="1" applyAlignment="1">
      <alignment horizontal="center" vertical="center" wrapText="1"/>
    </xf>
    <xf numFmtId="0" fontId="12" fillId="4" borderId="56" xfId="3" applyFont="1" applyFill="1" applyBorder="1" applyAlignment="1">
      <alignment horizontal="center" vertical="center" wrapText="1"/>
    </xf>
    <xf numFmtId="0" fontId="12" fillId="4" borderId="82" xfId="0" applyFont="1" applyFill="1" applyBorder="1" applyAlignment="1">
      <alignment vertical="center" wrapText="1"/>
    </xf>
    <xf numFmtId="0" fontId="12" fillId="4" borderId="50" xfId="0" applyFont="1" applyFill="1" applyBorder="1" applyAlignment="1">
      <alignment vertical="center" wrapText="1"/>
    </xf>
    <xf numFmtId="0" fontId="13" fillId="3" borderId="63" xfId="5" applyFont="1" applyFill="1" applyBorder="1" applyAlignment="1">
      <alignment horizontal="center" vertical="center" wrapText="1"/>
    </xf>
    <xf numFmtId="0" fontId="13" fillId="3" borderId="69" xfId="5" applyFont="1" applyFill="1" applyBorder="1" applyAlignment="1">
      <alignment horizontal="center" vertical="center" wrapText="1"/>
    </xf>
    <xf numFmtId="0" fontId="13" fillId="3" borderId="65" xfId="5" applyFont="1" applyFill="1" applyBorder="1" applyAlignment="1">
      <alignment horizontal="center" vertical="center" wrapText="1"/>
    </xf>
    <xf numFmtId="0" fontId="21" fillId="3" borderId="63" xfId="20" applyFont="1" applyFill="1" applyBorder="1" applyAlignment="1">
      <alignment horizontal="left" vertical="center"/>
    </xf>
    <xf numFmtId="0" fontId="21" fillId="3" borderId="69" xfId="20" applyFont="1" applyFill="1" applyBorder="1" applyAlignment="1">
      <alignment horizontal="left" vertical="center"/>
    </xf>
    <xf numFmtId="0" fontId="21" fillId="3" borderId="65" xfId="20" applyFont="1" applyFill="1" applyBorder="1" applyAlignment="1">
      <alignment horizontal="left" vertical="center"/>
    </xf>
    <xf numFmtId="0" fontId="30" fillId="10" borderId="88" xfId="27" applyFont="1" applyFill="1" applyBorder="1" applyAlignment="1">
      <alignment horizontal="center" vertical="center" wrapText="1"/>
    </xf>
    <xf numFmtId="0" fontId="30" fillId="10" borderId="89" xfId="27" applyFont="1" applyFill="1" applyBorder="1" applyAlignment="1">
      <alignment horizontal="center" vertical="center" wrapText="1"/>
    </xf>
    <xf numFmtId="0" fontId="30" fillId="10" borderId="90" xfId="27" applyFont="1" applyFill="1" applyBorder="1" applyAlignment="1">
      <alignment horizontal="center" vertical="center" wrapText="1"/>
    </xf>
    <xf numFmtId="4" fontId="31" fillId="0" borderId="88" xfId="27" applyNumberFormat="1" applyFont="1" applyBorder="1" applyAlignment="1">
      <alignment horizontal="center" vertical="center"/>
    </xf>
    <xf numFmtId="4" fontId="31" fillId="0" borderId="90" xfId="27" applyNumberFormat="1" applyFont="1" applyBorder="1" applyAlignment="1">
      <alignment horizontal="center" vertical="center"/>
    </xf>
    <xf numFmtId="4" fontId="31" fillId="0" borderId="48" xfId="27" applyNumberFormat="1" applyFont="1" applyBorder="1" applyAlignment="1">
      <alignment horizontal="center" vertical="center"/>
    </xf>
    <xf numFmtId="4" fontId="31" fillId="0" borderId="49" xfId="27" applyNumberFormat="1" applyFont="1" applyBorder="1" applyAlignment="1">
      <alignment horizontal="center" vertical="center"/>
    </xf>
    <xf numFmtId="4" fontId="31" fillId="0" borderId="91" xfId="27" applyNumberFormat="1" applyFont="1" applyBorder="1" applyAlignment="1">
      <alignment horizontal="center" vertical="center"/>
    </xf>
    <xf numFmtId="4" fontId="31" fillId="0" borderId="92" xfId="27" applyNumberFormat="1" applyFont="1" applyBorder="1" applyAlignment="1">
      <alignment horizontal="center" vertical="center"/>
    </xf>
    <xf numFmtId="0" fontId="35" fillId="0" borderId="100" xfId="27" applyFont="1" applyBorder="1" applyAlignment="1">
      <alignment vertical="center"/>
    </xf>
  </cellXfs>
  <cellStyles count="29">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xfId="23" builtinId="4"/>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12 2" xfId="28" xr:uid="{267A6057-F35F-485B-84F5-94387B5EBB61}"/>
    <cellStyle name="Normal 2" xfId="5" xr:uid="{00000000-0005-0000-0000-00000D000000}"/>
    <cellStyle name="Normal 2 10 2 2" xfId="22" xr:uid="{00000000-0005-0000-0000-00000E000000}"/>
    <cellStyle name="Normal 2 10 3" xfId="6" xr:uid="{00000000-0005-0000-0000-00000F000000}"/>
    <cellStyle name="Normal 2 5" xfId="24" xr:uid="{14E0841C-2A6A-494B-B3A8-34AD6296D8BF}"/>
    <cellStyle name="Normal 2 5 2" xfId="27" xr:uid="{B6D113F1-63F3-4AD7-855F-CA84BC1EF6B3}"/>
    <cellStyle name="Normal 23" xfId="25" xr:uid="{F04F89C1-76BA-4845-B8D2-B85D9E98C4F9}"/>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PTO OFICIAL PREPLIEGO (CORREGIDO) 2" xfId="10" xr:uid="{00000000-0005-0000-0000-000016000000}"/>
    <cellStyle name="Porcentaje" xfId="2" builtinId="5"/>
    <cellStyle name="Porcentaje 3" xfId="26" xr:uid="{D8696E8D-045D-4E76-AD8D-3F5D5AA1602D}"/>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theme" Target="theme/theme1.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styles" Target="style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sharedStrings" Target="sharedStrings.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Desktop\Secretar&#237;a%20Obras%20P&#250;blicas\Presupuestos\Base%20de%20Datos%20Crystal%202023%20febrero%20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file:///C:\Datos\MISDOC\LESLIE\A&#209;O%202024\Base%20de%20Datos%20Crystal%202024.xls" TargetMode="External"/><Relationship Id="rId1" Type="http://schemas.openxmlformats.org/officeDocument/2006/relationships/externalLinkPath" Target="/Datos/MISDOC/LESLIE/A&#209;O%202024/Base%20de%20Datos%20Crystal%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s>
    <sheetDataSet>
      <sheetData sheetId="0"/>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zoomScale="70" zoomScaleNormal="70" workbookViewId="0">
      <selection activeCell="F82" sqref="F82"/>
    </sheetView>
  </sheetViews>
  <sheetFormatPr baseColWidth="10" defaultColWidth="11.42578125"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3"/>
      <c r="B2" s="4"/>
      <c r="C2" s="4"/>
      <c r="D2" s="5"/>
      <c r="E2" s="4"/>
      <c r="F2" s="4"/>
      <c r="G2" s="4"/>
      <c r="H2" s="4"/>
      <c r="I2" s="4"/>
      <c r="J2" s="4"/>
      <c r="K2" s="80"/>
    </row>
    <row r="3" spans="1:11" ht="15.75">
      <c r="A3" s="7"/>
      <c r="B3" s="428" t="s">
        <v>0</v>
      </c>
      <c r="C3" s="429"/>
      <c r="D3" s="429"/>
      <c r="E3" s="430"/>
      <c r="F3" s="1"/>
      <c r="G3" s="1"/>
      <c r="H3" s="1"/>
      <c r="I3" s="1"/>
      <c r="J3" s="1"/>
      <c r="K3" s="81"/>
    </row>
    <row r="4" spans="1:11" ht="15.75">
      <c r="A4" s="7"/>
      <c r="B4" s="71" t="s">
        <v>1</v>
      </c>
      <c r="C4" s="72" t="s">
        <v>2</v>
      </c>
      <c r="D4" s="73" t="s">
        <v>3</v>
      </c>
      <c r="E4" s="74">
        <v>2</v>
      </c>
      <c r="F4" s="1"/>
      <c r="G4" s="1"/>
      <c r="H4" s="1"/>
      <c r="I4" s="1"/>
      <c r="J4" s="1"/>
      <c r="K4" s="81"/>
    </row>
    <row r="5" spans="1:11" ht="16.5" thickBot="1">
      <c r="A5" s="7"/>
      <c r="B5" s="78"/>
      <c r="C5" s="79"/>
      <c r="D5" s="78"/>
      <c r="E5" s="79"/>
      <c r="F5" s="1"/>
      <c r="G5" s="1"/>
      <c r="H5" s="1"/>
      <c r="I5" s="1"/>
      <c r="J5" s="1"/>
      <c r="K5" s="81"/>
    </row>
    <row r="6" spans="1:11" ht="15.75">
      <c r="A6" s="7"/>
      <c r="B6" s="443" t="s">
        <v>4</v>
      </c>
      <c r="C6" s="444"/>
      <c r="D6" s="444"/>
      <c r="E6" s="444"/>
      <c r="F6" s="444"/>
      <c r="G6" s="444"/>
      <c r="H6" s="444"/>
      <c r="I6" s="444"/>
      <c r="J6" s="445"/>
      <c r="K6" s="81"/>
    </row>
    <row r="7" spans="1:11" ht="15.75">
      <c r="A7" s="7"/>
      <c r="B7" s="446" t="s">
        <v>5</v>
      </c>
      <c r="C7" s="447"/>
      <c r="D7" s="447"/>
      <c r="E7" s="447"/>
      <c r="F7" s="447"/>
      <c r="G7" s="447"/>
      <c r="H7" s="447"/>
      <c r="I7" s="447"/>
      <c r="J7" s="448"/>
      <c r="K7" s="81"/>
    </row>
    <row r="8" spans="1:11" ht="15.75" customHeight="1">
      <c r="A8" s="10"/>
      <c r="B8" s="449" t="s">
        <v>6</v>
      </c>
      <c r="C8" s="450"/>
      <c r="D8" s="450"/>
      <c r="E8" s="450"/>
      <c r="F8" s="450"/>
      <c r="G8" s="450"/>
      <c r="H8" s="450"/>
      <c r="I8" s="450"/>
      <c r="J8" s="451"/>
      <c r="K8" s="81"/>
    </row>
    <row r="9" spans="1:11" ht="49.5" customHeight="1">
      <c r="A9" s="7"/>
      <c r="B9" s="449"/>
      <c r="C9" s="450"/>
      <c r="D9" s="450"/>
      <c r="E9" s="450"/>
      <c r="F9" s="450"/>
      <c r="G9" s="450"/>
      <c r="H9" s="450"/>
      <c r="I9" s="450"/>
      <c r="J9" s="451"/>
      <c r="K9" s="81"/>
    </row>
    <row r="10" spans="1:11" ht="52.5" customHeight="1" thickBot="1">
      <c r="A10" s="7"/>
      <c r="B10" s="452" t="s">
        <v>7</v>
      </c>
      <c r="C10" s="453"/>
      <c r="D10" s="453"/>
      <c r="E10" s="453"/>
      <c r="F10" s="453"/>
      <c r="G10" s="453"/>
      <c r="H10" s="453"/>
      <c r="I10" s="453"/>
      <c r="J10" s="454"/>
      <c r="K10" s="81"/>
    </row>
    <row r="11" spans="1:11" ht="33.75" customHeight="1" thickBot="1">
      <c r="A11" s="7"/>
      <c r="B11" s="455" t="e">
        <f>+#REF!</f>
        <v>#REF!</v>
      </c>
      <c r="C11" s="456"/>
      <c r="D11" s="456"/>
      <c r="E11" s="456"/>
      <c r="F11" s="456"/>
      <c r="G11" s="456"/>
      <c r="H11" s="456"/>
      <c r="I11" s="456"/>
      <c r="J11" s="457"/>
      <c r="K11" s="81"/>
    </row>
    <row r="12" spans="1:11" ht="15.75" customHeight="1">
      <c r="A12" s="7"/>
      <c r="B12" s="440"/>
      <c r="C12" s="431" t="s">
        <v>8</v>
      </c>
      <c r="D12" s="442" t="s">
        <v>9</v>
      </c>
      <c r="E12" s="442"/>
      <c r="F12" s="440" t="s">
        <v>10</v>
      </c>
      <c r="G12" s="431" t="s">
        <v>11</v>
      </c>
      <c r="H12" s="431" t="s">
        <v>12</v>
      </c>
      <c r="I12" s="433" t="s">
        <v>13</v>
      </c>
      <c r="J12" s="435" t="s">
        <v>14</v>
      </c>
      <c r="K12" s="81"/>
    </row>
    <row r="13" spans="1:11" ht="32.25" thickBot="1">
      <c r="A13" s="7"/>
      <c r="B13" s="441"/>
      <c r="C13" s="432"/>
      <c r="D13" s="12" t="s">
        <v>15</v>
      </c>
      <c r="E13" s="12" t="s">
        <v>16</v>
      </c>
      <c r="F13" s="441"/>
      <c r="G13" s="432"/>
      <c r="H13" s="432"/>
      <c r="I13" s="434"/>
      <c r="J13" s="436"/>
      <c r="K13" s="81"/>
    </row>
    <row r="14" spans="1:11" ht="16.5" thickBot="1">
      <c r="A14" s="7"/>
      <c r="B14" s="254"/>
      <c r="C14" s="256"/>
      <c r="D14" s="256"/>
      <c r="E14" s="256"/>
      <c r="F14" s="256" t="s">
        <v>17</v>
      </c>
      <c r="G14" s="256"/>
      <c r="H14" s="256"/>
      <c r="I14" s="256"/>
      <c r="J14" s="257"/>
      <c r="K14" s="81"/>
    </row>
    <row r="15" spans="1:11" ht="48" customHeight="1">
      <c r="A15" s="7"/>
      <c r="B15" s="13"/>
      <c r="C15" s="162"/>
      <c r="D15" s="162"/>
      <c r="E15" s="162"/>
      <c r="F15" s="163"/>
      <c r="G15" s="162"/>
      <c r="H15" s="164"/>
      <c r="I15" s="165"/>
      <c r="J15" s="14"/>
      <c r="K15" s="81"/>
    </row>
    <row r="16" spans="1:11" ht="39" customHeight="1">
      <c r="A16" s="7"/>
      <c r="B16" s="349"/>
      <c r="C16" s="162"/>
      <c r="D16" s="162"/>
      <c r="E16" s="162"/>
      <c r="F16" s="163"/>
      <c r="G16" s="162"/>
      <c r="H16" s="164"/>
      <c r="I16" s="165"/>
      <c r="J16" s="14"/>
      <c r="K16" s="81"/>
    </row>
    <row r="17" spans="1:11" ht="51.75" customHeight="1">
      <c r="A17" s="7"/>
      <c r="B17" s="349"/>
      <c r="C17" s="162"/>
      <c r="D17" s="162"/>
      <c r="E17" s="162"/>
      <c r="F17" s="163"/>
      <c r="G17" s="162"/>
      <c r="H17" s="164"/>
      <c r="I17" s="165"/>
      <c r="J17" s="14"/>
      <c r="K17" s="81"/>
    </row>
    <row r="18" spans="1:11" ht="45.75" customHeight="1">
      <c r="A18" s="7"/>
      <c r="B18" s="13"/>
      <c r="C18" s="162"/>
      <c r="D18" s="162"/>
      <c r="E18" s="162"/>
      <c r="F18" s="163"/>
      <c r="G18" s="162"/>
      <c r="H18" s="164"/>
      <c r="I18" s="165"/>
      <c r="J18" s="14"/>
      <c r="K18" s="81"/>
    </row>
    <row r="19" spans="1:11" ht="25.5" customHeight="1">
      <c r="A19" s="7"/>
      <c r="B19" s="349"/>
      <c r="C19" s="162"/>
      <c r="D19" s="162"/>
      <c r="E19" s="162"/>
      <c r="F19" s="163"/>
      <c r="G19" s="162"/>
      <c r="H19" s="164"/>
      <c r="I19" s="165"/>
      <c r="J19" s="14"/>
      <c r="K19" s="81"/>
    </row>
    <row r="20" spans="1:11" ht="39.75" customHeight="1">
      <c r="A20" s="7"/>
      <c r="B20" s="349"/>
      <c r="C20" s="162"/>
      <c r="D20" s="162"/>
      <c r="E20" s="162"/>
      <c r="F20" s="163"/>
      <c r="G20" s="162"/>
      <c r="H20" s="164"/>
      <c r="I20" s="165"/>
      <c r="J20" s="14"/>
      <c r="K20" s="81"/>
    </row>
    <row r="21" spans="1:11" ht="51" customHeight="1">
      <c r="A21" s="7"/>
      <c r="B21" s="13"/>
      <c r="C21" s="162"/>
      <c r="D21" s="162"/>
      <c r="E21" s="162"/>
      <c r="F21" s="163"/>
      <c r="G21" s="162"/>
      <c r="H21" s="164"/>
      <c r="I21" s="165"/>
      <c r="J21" s="14"/>
      <c r="K21" s="81"/>
    </row>
    <row r="22" spans="1:11" ht="18">
      <c r="A22" s="7"/>
      <c r="B22" s="350" t="s">
        <v>18</v>
      </c>
      <c r="C22" s="162"/>
      <c r="D22" s="162"/>
      <c r="E22" s="162"/>
      <c r="F22" s="163"/>
      <c r="G22" s="162"/>
      <c r="H22" s="164"/>
      <c r="I22" s="166"/>
      <c r="J22" s="167">
        <f>SUM(J15:J21)</f>
        <v>0</v>
      </c>
      <c r="K22" s="81"/>
    </row>
    <row r="23" spans="1:11" ht="16.5" thickBot="1">
      <c r="A23" s="7"/>
      <c r="B23" s="15"/>
      <c r="C23" s="16"/>
      <c r="D23" s="16"/>
      <c r="E23" s="16"/>
      <c r="F23" s="16" t="s">
        <v>19</v>
      </c>
      <c r="G23" s="16"/>
      <c r="H23" s="16"/>
      <c r="I23" s="16">
        <v>0</v>
      </c>
      <c r="J23" s="17"/>
      <c r="K23" s="81"/>
    </row>
    <row r="24" spans="1:11" ht="15.75">
      <c r="A24" s="7"/>
      <c r="B24" s="13"/>
      <c r="C24" s="162"/>
      <c r="D24" s="162"/>
      <c r="E24" s="162"/>
      <c r="F24" s="168"/>
      <c r="G24" s="162"/>
      <c r="H24" s="164"/>
      <c r="I24" s="165"/>
      <c r="J24" s="14"/>
      <c r="K24" s="81"/>
    </row>
    <row r="25" spans="1:11" ht="15.75">
      <c r="A25" s="7"/>
      <c r="B25" s="13"/>
      <c r="C25" s="169"/>
      <c r="D25" s="162"/>
      <c r="E25" s="162"/>
      <c r="F25" s="163"/>
      <c r="G25" s="162"/>
      <c r="H25" s="164"/>
      <c r="I25" s="165"/>
      <c r="J25" s="14"/>
      <c r="K25" s="81"/>
    </row>
    <row r="26" spans="1:11" ht="16.5">
      <c r="A26" s="18"/>
      <c r="B26" s="13"/>
      <c r="C26" s="162"/>
      <c r="D26" s="162"/>
      <c r="E26" s="162"/>
      <c r="F26" s="168"/>
      <c r="G26" s="162"/>
      <c r="H26" s="164"/>
      <c r="I26" s="165"/>
      <c r="J26" s="14"/>
      <c r="K26" s="81"/>
    </row>
    <row r="27" spans="1:11" ht="18.75" thickBot="1">
      <c r="A27" s="7"/>
      <c r="B27" s="19" t="s">
        <v>18</v>
      </c>
      <c r="C27" s="20"/>
      <c r="D27" s="21"/>
      <c r="E27" s="20"/>
      <c r="F27" s="20"/>
      <c r="G27" s="20"/>
      <c r="H27" s="164"/>
      <c r="I27" s="20">
        <v>0</v>
      </c>
      <c r="J27" s="22">
        <f>SUM(J24:J26)</f>
        <v>0</v>
      </c>
      <c r="K27" s="81"/>
    </row>
    <row r="28" spans="1:11" ht="16.5" thickBot="1">
      <c r="A28" s="7"/>
      <c r="B28" s="254"/>
      <c r="C28" s="256"/>
      <c r="D28" s="256"/>
      <c r="E28" s="256"/>
      <c r="F28" s="256" t="s">
        <v>20</v>
      </c>
      <c r="G28" s="256"/>
      <c r="H28" s="256"/>
      <c r="I28" s="256">
        <v>0</v>
      </c>
      <c r="J28" s="257"/>
      <c r="K28" s="81"/>
    </row>
    <row r="29" spans="1:11" ht="66.75" customHeight="1">
      <c r="A29" s="7"/>
      <c r="B29" s="13"/>
      <c r="C29" s="170"/>
      <c r="D29" s="170"/>
      <c r="E29" s="170"/>
      <c r="F29" s="171"/>
      <c r="G29" s="170"/>
      <c r="H29" s="172"/>
      <c r="I29" s="165"/>
      <c r="J29" s="14"/>
      <c r="K29" s="81"/>
    </row>
    <row r="30" spans="1:11" ht="63.75" customHeight="1">
      <c r="A30" s="7"/>
      <c r="B30" s="13"/>
      <c r="C30" s="170"/>
      <c r="D30" s="170"/>
      <c r="E30" s="170"/>
      <c r="F30" s="171"/>
      <c r="G30" s="173"/>
      <c r="H30" s="164"/>
      <c r="I30" s="165"/>
      <c r="J30" s="14"/>
      <c r="K30" s="81"/>
    </row>
    <row r="31" spans="1:11" ht="18.75" thickBot="1">
      <c r="A31" s="7"/>
      <c r="B31" s="23" t="s">
        <v>18</v>
      </c>
      <c r="C31" s="24"/>
      <c r="D31" s="24"/>
      <c r="E31" s="24"/>
      <c r="F31" s="25"/>
      <c r="G31" s="24"/>
      <c r="H31" s="164"/>
      <c r="I31" s="26">
        <v>0</v>
      </c>
      <c r="J31" s="27">
        <f>SUM(J29:J30)</f>
        <v>0</v>
      </c>
      <c r="K31" s="81"/>
    </row>
    <row r="32" spans="1:11" ht="16.5" thickBot="1">
      <c r="A32" s="7"/>
      <c r="B32" s="254"/>
      <c r="C32" s="256"/>
      <c r="D32" s="256"/>
      <c r="E32" s="256"/>
      <c r="F32" s="256" t="s">
        <v>21</v>
      </c>
      <c r="G32" s="256"/>
      <c r="H32" s="256"/>
      <c r="I32" s="256">
        <v>0</v>
      </c>
      <c r="J32" s="257"/>
      <c r="K32" s="81"/>
    </row>
    <row r="33" spans="1:11" ht="53.25" customHeight="1">
      <c r="A33" s="7"/>
      <c r="B33" s="13"/>
      <c r="C33" s="170"/>
      <c r="D33" s="170"/>
      <c r="E33" s="170"/>
      <c r="F33" s="171"/>
      <c r="G33" s="170"/>
      <c r="H33" s="164"/>
      <c r="I33" s="165"/>
      <c r="J33" s="14"/>
      <c r="K33" s="81"/>
    </row>
    <row r="34" spans="1:11" ht="48.75" customHeight="1">
      <c r="A34" s="7"/>
      <c r="B34" s="349"/>
      <c r="C34" s="170"/>
      <c r="D34" s="170"/>
      <c r="E34" s="170"/>
      <c r="F34" s="171"/>
      <c r="G34" s="170"/>
      <c r="H34" s="164"/>
      <c r="I34" s="165"/>
      <c r="J34" s="14"/>
      <c r="K34" s="81"/>
    </row>
    <row r="35" spans="1:11" ht="18.75" thickBot="1">
      <c r="A35" s="7"/>
      <c r="B35" s="19" t="s">
        <v>18</v>
      </c>
      <c r="C35" s="28"/>
      <c r="D35" s="28"/>
      <c r="E35" s="28"/>
      <c r="F35" s="29"/>
      <c r="G35" s="30"/>
      <c r="H35" s="164"/>
      <c r="I35" s="31">
        <v>0</v>
      </c>
      <c r="J35" s="22">
        <f>SUM(J33:J34)</f>
        <v>0</v>
      </c>
      <c r="K35" s="81"/>
    </row>
    <row r="36" spans="1:11" ht="16.5" thickBot="1">
      <c r="A36" s="7"/>
      <c r="B36" s="254"/>
      <c r="C36" s="256"/>
      <c r="D36" s="256"/>
      <c r="E36" s="256"/>
      <c r="F36" s="256" t="s">
        <v>22</v>
      </c>
      <c r="G36" s="256"/>
      <c r="H36" s="256"/>
      <c r="I36" s="256">
        <v>0</v>
      </c>
      <c r="J36" s="257"/>
      <c r="K36" s="81"/>
    </row>
    <row r="37" spans="1:11" ht="51.75" customHeight="1">
      <c r="A37" s="7"/>
      <c r="B37" s="13"/>
      <c r="C37" s="170"/>
      <c r="D37" s="170"/>
      <c r="E37" s="170"/>
      <c r="F37" s="171"/>
      <c r="G37" s="170"/>
      <c r="H37" s="164"/>
      <c r="I37" s="165"/>
      <c r="J37" s="14"/>
      <c r="K37" s="81"/>
    </row>
    <row r="38" spans="1:11" ht="22.5" customHeight="1">
      <c r="A38" s="7"/>
      <c r="B38" s="13"/>
      <c r="C38" s="170"/>
      <c r="D38" s="170"/>
      <c r="E38" s="170"/>
      <c r="F38" s="171"/>
      <c r="G38" s="170"/>
      <c r="H38" s="164"/>
      <c r="I38" s="165"/>
      <c r="J38" s="14"/>
      <c r="K38" s="81"/>
    </row>
    <row r="39" spans="1:11" ht="30" customHeight="1">
      <c r="A39" s="7"/>
      <c r="B39" s="349"/>
      <c r="C39" s="174"/>
      <c r="D39" s="174"/>
      <c r="E39" s="174"/>
      <c r="F39" s="175"/>
      <c r="G39" s="174"/>
      <c r="H39" s="164"/>
      <c r="I39" s="165"/>
      <c r="J39" s="14"/>
      <c r="K39" s="81"/>
    </row>
    <row r="40" spans="1:11" ht="18.75" thickBot="1">
      <c r="A40" s="7"/>
      <c r="B40" s="19" t="s">
        <v>18</v>
      </c>
      <c r="C40" s="176"/>
      <c r="D40" s="176"/>
      <c r="E40" s="176"/>
      <c r="F40" s="177"/>
      <c r="G40" s="178"/>
      <c r="H40" s="179"/>
      <c r="I40" s="166">
        <v>0</v>
      </c>
      <c r="J40" s="180">
        <f>SUM(J37:J39)</f>
        <v>0</v>
      </c>
      <c r="K40" s="81"/>
    </row>
    <row r="41" spans="1:11" ht="16.5" thickBot="1">
      <c r="A41" s="7"/>
      <c r="B41" s="15"/>
      <c r="C41" s="16"/>
      <c r="D41" s="16"/>
      <c r="E41" s="16"/>
      <c r="F41" s="16" t="s">
        <v>23</v>
      </c>
      <c r="G41" s="16"/>
      <c r="H41" s="256"/>
      <c r="I41" s="256">
        <v>0</v>
      </c>
      <c r="J41" s="257"/>
      <c r="K41" s="81"/>
    </row>
    <row r="42" spans="1:11" ht="30" customHeight="1">
      <c r="A42" s="7"/>
      <c r="B42" s="13"/>
      <c r="C42" s="170"/>
      <c r="D42" s="170"/>
      <c r="E42" s="170"/>
      <c r="F42" s="171"/>
      <c r="G42" s="170"/>
      <c r="H42" s="164"/>
      <c r="I42" s="165"/>
      <c r="J42" s="14"/>
      <c r="K42" s="81"/>
    </row>
    <row r="43" spans="1:11" ht="45" customHeight="1">
      <c r="A43" s="7"/>
      <c r="B43" s="349"/>
      <c r="C43" s="170"/>
      <c r="D43" s="170"/>
      <c r="E43" s="170"/>
      <c r="F43" s="171"/>
      <c r="G43" s="170"/>
      <c r="H43" s="164"/>
      <c r="I43" s="165"/>
      <c r="J43" s="14"/>
      <c r="K43" s="81"/>
    </row>
    <row r="44" spans="1:11" ht="18.75" thickBot="1">
      <c r="A44" s="7"/>
      <c r="B44" s="19" t="s">
        <v>18</v>
      </c>
      <c r="C44" s="24"/>
      <c r="D44" s="24"/>
      <c r="E44" s="24"/>
      <c r="F44" s="25"/>
      <c r="G44" s="24"/>
      <c r="H44" s="164"/>
      <c r="I44" s="26">
        <v>0</v>
      </c>
      <c r="J44" s="32">
        <f>SUM(J42:J43)</f>
        <v>0</v>
      </c>
      <c r="K44" s="81"/>
    </row>
    <row r="45" spans="1:11" ht="16.5" thickBot="1">
      <c r="A45" s="7"/>
      <c r="B45" s="254"/>
      <c r="C45" s="256"/>
      <c r="D45" s="256"/>
      <c r="E45" s="256"/>
      <c r="F45" s="256" t="s">
        <v>24</v>
      </c>
      <c r="G45" s="256"/>
      <c r="H45" s="256"/>
      <c r="I45" s="256">
        <v>0</v>
      </c>
      <c r="J45" s="257"/>
      <c r="K45" s="81"/>
    </row>
    <row r="46" spans="1:11" ht="60.75" customHeight="1">
      <c r="A46" s="7"/>
      <c r="B46" s="13"/>
      <c r="C46" s="170"/>
      <c r="D46" s="170"/>
      <c r="E46" s="170"/>
      <c r="F46" s="171"/>
      <c r="G46" s="170"/>
      <c r="H46" s="164"/>
      <c r="I46" s="165"/>
      <c r="J46" s="14"/>
      <c r="K46" s="81"/>
    </row>
    <row r="47" spans="1:11" ht="44.25" customHeight="1">
      <c r="A47" s="7"/>
      <c r="B47" s="349"/>
      <c r="C47" s="170"/>
      <c r="D47" s="170"/>
      <c r="E47" s="170"/>
      <c r="F47" s="171"/>
      <c r="G47" s="170"/>
      <c r="H47" s="164"/>
      <c r="I47" s="165"/>
      <c r="J47" s="14"/>
      <c r="K47" s="81"/>
    </row>
    <row r="48" spans="1:11" ht="18.75" thickBot="1">
      <c r="A48" s="7"/>
      <c r="B48" s="19" t="s">
        <v>18</v>
      </c>
      <c r="C48" s="28"/>
      <c r="D48" s="28"/>
      <c r="E48" s="28"/>
      <c r="F48" s="29"/>
      <c r="G48" s="30"/>
      <c r="H48" s="164"/>
      <c r="I48" s="31">
        <v>0</v>
      </c>
      <c r="J48" s="22">
        <f>SUM(J46:J47)</f>
        <v>0</v>
      </c>
      <c r="K48" s="81"/>
    </row>
    <row r="49" spans="1:11" ht="16.5" thickBot="1">
      <c r="A49" s="7"/>
      <c r="B49" s="254"/>
      <c r="C49" s="256"/>
      <c r="D49" s="256"/>
      <c r="E49" s="256"/>
      <c r="F49" s="256" t="s">
        <v>25</v>
      </c>
      <c r="G49" s="256"/>
      <c r="H49" s="256"/>
      <c r="I49" s="256">
        <v>0</v>
      </c>
      <c r="J49" s="257"/>
      <c r="K49" s="81"/>
    </row>
    <row r="50" spans="1:11" ht="57.75" customHeight="1">
      <c r="A50" s="7"/>
      <c r="B50" s="13"/>
      <c r="C50" s="170"/>
      <c r="D50" s="170"/>
      <c r="E50" s="170"/>
      <c r="F50" s="171"/>
      <c r="G50" s="170"/>
      <c r="H50" s="164"/>
      <c r="I50" s="165"/>
      <c r="J50" s="14"/>
      <c r="K50" s="81"/>
    </row>
    <row r="51" spans="1:11" ht="53.25" customHeight="1">
      <c r="A51" s="7"/>
      <c r="B51" s="13"/>
      <c r="C51" s="170"/>
      <c r="D51" s="170"/>
      <c r="E51" s="170"/>
      <c r="F51" s="171"/>
      <c r="G51" s="170"/>
      <c r="H51" s="164"/>
      <c r="I51" s="165"/>
      <c r="J51" s="14"/>
      <c r="K51" s="81"/>
    </row>
    <row r="52" spans="1:11" ht="42.75" customHeight="1">
      <c r="A52" s="7"/>
      <c r="B52" s="13"/>
      <c r="C52" s="170"/>
      <c r="D52" s="170"/>
      <c r="E52" s="170"/>
      <c r="F52" s="171"/>
      <c r="G52" s="170"/>
      <c r="H52" s="164"/>
      <c r="I52" s="165"/>
      <c r="J52" s="14"/>
      <c r="K52" s="81"/>
    </row>
    <row r="53" spans="1:11" ht="107.25" customHeight="1">
      <c r="A53" s="7"/>
      <c r="B53" s="13"/>
      <c r="C53" s="170"/>
      <c r="D53" s="170"/>
      <c r="E53" s="170"/>
      <c r="F53" s="171"/>
      <c r="G53" s="170"/>
      <c r="H53" s="164"/>
      <c r="I53" s="165"/>
      <c r="J53" s="14"/>
      <c r="K53" s="81"/>
    </row>
    <row r="54" spans="1:11" ht="60" customHeight="1">
      <c r="A54" s="7"/>
      <c r="B54" s="13"/>
      <c r="C54" s="170"/>
      <c r="D54" s="170"/>
      <c r="E54" s="170"/>
      <c r="F54" s="171"/>
      <c r="G54" s="170"/>
      <c r="H54" s="172"/>
      <c r="I54" s="165"/>
      <c r="J54" s="14"/>
      <c r="K54" s="81"/>
    </row>
    <row r="55" spans="1:11" ht="65.25" customHeight="1">
      <c r="A55" s="7"/>
      <c r="B55" s="13"/>
      <c r="C55" s="170"/>
      <c r="D55" s="170"/>
      <c r="E55" s="170"/>
      <c r="F55" s="171"/>
      <c r="G55" s="170"/>
      <c r="H55" s="172"/>
      <c r="I55" s="165"/>
      <c r="J55" s="14"/>
      <c r="K55" s="81"/>
    </row>
    <row r="56" spans="1:11" ht="69" customHeight="1">
      <c r="A56" s="7"/>
      <c r="B56" s="13"/>
      <c r="C56" s="170"/>
      <c r="D56" s="170"/>
      <c r="E56" s="170"/>
      <c r="F56" s="171"/>
      <c r="G56" s="170"/>
      <c r="H56" s="172"/>
      <c r="I56" s="165"/>
      <c r="J56" s="14"/>
      <c r="K56" s="81"/>
    </row>
    <row r="57" spans="1:11" ht="32.25" customHeight="1">
      <c r="A57" s="7"/>
      <c r="B57" s="13"/>
      <c r="C57" s="170"/>
      <c r="D57" s="170"/>
      <c r="E57" s="170"/>
      <c r="F57" s="171"/>
      <c r="G57" s="170"/>
      <c r="H57" s="172"/>
      <c r="I57" s="165"/>
      <c r="J57" s="14"/>
      <c r="K57" s="81"/>
    </row>
    <row r="58" spans="1:11" ht="15.75">
      <c r="A58" s="7"/>
      <c r="B58" s="13"/>
      <c r="C58" s="170"/>
      <c r="D58" s="170"/>
      <c r="E58" s="170"/>
      <c r="F58" s="171"/>
      <c r="G58" s="170"/>
      <c r="H58" s="172"/>
      <c r="I58" s="165"/>
      <c r="J58" s="14"/>
      <c r="K58" s="81"/>
    </row>
    <row r="59" spans="1:11" ht="35.25" customHeight="1">
      <c r="A59" s="7"/>
      <c r="B59" s="13"/>
      <c r="C59" s="170"/>
      <c r="D59" s="170"/>
      <c r="E59" s="170"/>
      <c r="F59" s="171"/>
      <c r="G59" s="170"/>
      <c r="H59" s="172"/>
      <c r="I59" s="165"/>
      <c r="J59" s="14"/>
      <c r="K59" s="81"/>
    </row>
    <row r="60" spans="1:11" ht="85.5" customHeight="1">
      <c r="A60" s="7"/>
      <c r="B60" s="13"/>
      <c r="C60" s="170"/>
      <c r="D60" s="170"/>
      <c r="E60" s="170"/>
      <c r="F60" s="171"/>
      <c r="G60" s="170"/>
      <c r="H60" s="172"/>
      <c r="I60" s="165"/>
      <c r="J60" s="14"/>
      <c r="K60" s="81"/>
    </row>
    <row r="61" spans="1:11" ht="18.75" thickBot="1">
      <c r="A61" s="7"/>
      <c r="B61" s="19" t="s">
        <v>18</v>
      </c>
      <c r="C61" s="28"/>
      <c r="D61" s="28"/>
      <c r="E61" s="28"/>
      <c r="F61" s="33"/>
      <c r="G61" s="30"/>
      <c r="H61" s="34"/>
      <c r="I61" s="31"/>
      <c r="J61" s="22">
        <f>SUM(J50:J60)</f>
        <v>0</v>
      </c>
      <c r="K61" s="81"/>
    </row>
    <row r="62" spans="1:11" ht="21" thickBot="1">
      <c r="A62" s="36"/>
      <c r="B62" s="437" t="s">
        <v>26</v>
      </c>
      <c r="C62" s="438"/>
      <c r="D62" s="438"/>
      <c r="E62" s="438"/>
      <c r="F62" s="438"/>
      <c r="G62" s="438"/>
      <c r="H62" s="438"/>
      <c r="I62" s="439"/>
      <c r="J62" s="258">
        <f>J22+J27+J31+J35+J40+J44+J48+J61</f>
        <v>0</v>
      </c>
      <c r="K62" s="81"/>
    </row>
    <row r="63" spans="1:11" ht="16.5" thickBot="1">
      <c r="A63" s="36"/>
      <c r="B63" s="39"/>
      <c r="C63" s="39"/>
      <c r="D63" s="39"/>
      <c r="E63" s="39"/>
      <c r="F63" s="39"/>
      <c r="G63" s="39"/>
      <c r="H63" s="39"/>
      <c r="I63" s="39"/>
      <c r="J63" s="40"/>
      <c r="K63" s="81"/>
    </row>
    <row r="64" spans="1:11" ht="15.75">
      <c r="A64" s="36"/>
      <c r="B64" s="41"/>
      <c r="C64" s="42"/>
      <c r="D64" s="41"/>
      <c r="E64" s="41"/>
      <c r="F64" s="404"/>
      <c r="G64" s="405"/>
      <c r="H64" s="406"/>
      <c r="I64" s="259"/>
      <c r="J64" s="260"/>
      <c r="K64" s="81"/>
    </row>
    <row r="65" spans="1:11" ht="21" thickBot="1">
      <c r="A65" s="36"/>
      <c r="B65" s="41"/>
      <c r="C65" s="43"/>
      <c r="D65" s="43"/>
      <c r="E65" s="43"/>
      <c r="F65" s="181" t="s">
        <v>27</v>
      </c>
      <c r="G65" s="182"/>
      <c r="H65" s="183"/>
      <c r="I65" s="184"/>
      <c r="J65" s="185">
        <f>J62</f>
        <v>0</v>
      </c>
      <c r="K65" s="81"/>
    </row>
    <row r="66" spans="1:11" ht="21" thickBot="1">
      <c r="A66" s="36"/>
      <c r="B66" s="41"/>
      <c r="C66" s="42"/>
      <c r="D66" s="41"/>
      <c r="E66" s="41"/>
      <c r="F66" s="44" t="s">
        <v>28</v>
      </c>
      <c r="G66" s="45"/>
      <c r="H66" s="46"/>
      <c r="I66" s="47"/>
      <c r="J66" s="258">
        <f>J65</f>
        <v>0</v>
      </c>
      <c r="K66" s="81"/>
    </row>
    <row r="67" spans="1:11" ht="16.5" thickBot="1">
      <c r="A67" s="36"/>
      <c r="B67" s="41"/>
      <c r="C67" s="42"/>
      <c r="D67" s="42"/>
      <c r="E67" s="42"/>
      <c r="F67" s="41"/>
      <c r="G67" s="41"/>
      <c r="H67" s="48"/>
      <c r="I67" s="82"/>
      <c r="J67" s="83"/>
      <c r="K67" s="81"/>
    </row>
    <row r="68" spans="1:11" ht="31.5" customHeight="1">
      <c r="A68" s="36"/>
      <c r="B68" s="425" t="s">
        <v>29</v>
      </c>
      <c r="C68" s="426"/>
      <c r="D68" s="426"/>
      <c r="E68" s="426"/>
      <c r="F68" s="426"/>
      <c r="G68" s="427" t="s">
        <v>10</v>
      </c>
      <c r="H68" s="427"/>
      <c r="I68" s="427"/>
      <c r="J68" s="261" t="s">
        <v>30</v>
      </c>
      <c r="K68" s="81"/>
    </row>
    <row r="69" spans="1:11" ht="51" customHeight="1">
      <c r="A69" s="36"/>
      <c r="B69" s="418" t="s">
        <v>31</v>
      </c>
      <c r="C69" s="419"/>
      <c r="D69" s="419"/>
      <c r="E69" s="419"/>
      <c r="F69" s="419"/>
      <c r="G69" s="411" t="s">
        <v>32</v>
      </c>
      <c r="H69" s="411"/>
      <c r="I69" s="186" t="s">
        <v>33</v>
      </c>
      <c r="J69" s="187" t="s">
        <v>34</v>
      </c>
      <c r="K69" s="81"/>
    </row>
    <row r="70" spans="1:11" ht="39" customHeight="1">
      <c r="A70" s="36"/>
      <c r="B70" s="418" t="s">
        <v>35</v>
      </c>
      <c r="C70" s="419"/>
      <c r="D70" s="419"/>
      <c r="E70" s="419"/>
      <c r="F70" s="419"/>
      <c r="G70" s="420" t="s">
        <v>36</v>
      </c>
      <c r="H70" s="421"/>
      <c r="I70" s="186" t="s">
        <v>37</v>
      </c>
      <c r="J70" s="187" t="s">
        <v>34</v>
      </c>
      <c r="K70" s="81"/>
    </row>
    <row r="71" spans="1:11" ht="57.75" customHeight="1">
      <c r="A71" s="36"/>
      <c r="B71" s="422" t="s">
        <v>38</v>
      </c>
      <c r="C71" s="423"/>
      <c r="D71" s="423"/>
      <c r="E71" s="423"/>
      <c r="F71" s="423"/>
      <c r="G71" s="424" t="s">
        <v>39</v>
      </c>
      <c r="H71" s="411"/>
      <c r="I71" s="186" t="s">
        <v>40</v>
      </c>
      <c r="J71" s="187" t="s">
        <v>34</v>
      </c>
      <c r="K71" s="81"/>
    </row>
    <row r="72" spans="1:11" ht="58.5" customHeight="1">
      <c r="A72" s="7"/>
      <c r="B72" s="407" t="s">
        <v>41</v>
      </c>
      <c r="C72" s="408"/>
      <c r="D72" s="408"/>
      <c r="E72" s="408"/>
      <c r="F72" s="409"/>
      <c r="G72" s="410" t="s">
        <v>42</v>
      </c>
      <c r="H72" s="411"/>
      <c r="I72" s="186" t="s">
        <v>43</v>
      </c>
      <c r="J72" s="187" t="s">
        <v>34</v>
      </c>
      <c r="K72" s="81"/>
    </row>
    <row r="73" spans="1:11" ht="60.75" customHeight="1" thickBot="1">
      <c r="A73" s="7"/>
      <c r="B73" s="412" t="s">
        <v>44</v>
      </c>
      <c r="C73" s="413"/>
      <c r="D73" s="413"/>
      <c r="E73" s="413"/>
      <c r="F73" s="414"/>
      <c r="G73" s="415"/>
      <c r="H73" s="416"/>
      <c r="I73" s="416"/>
      <c r="J73" s="417"/>
      <c r="K73" s="81"/>
    </row>
    <row r="74" spans="1:11" ht="60.75" customHeight="1">
      <c r="A74" s="7"/>
      <c r="B74" s="76"/>
      <c r="C74" s="77"/>
      <c r="D74" s="77"/>
      <c r="E74" s="77"/>
      <c r="F74" s="75"/>
      <c r="G74" s="75"/>
      <c r="H74" s="75"/>
      <c r="I74" s="75"/>
      <c r="J74" s="75"/>
      <c r="K74" s="81"/>
    </row>
    <row r="75" spans="1:11" ht="60.75" customHeight="1">
      <c r="A75" s="7"/>
      <c r="B75" s="76"/>
      <c r="C75" s="77"/>
      <c r="D75" s="77"/>
      <c r="E75" s="77"/>
      <c r="F75" s="188" t="s">
        <v>45</v>
      </c>
      <c r="G75" s="75"/>
      <c r="H75" s="75"/>
      <c r="I75" s="75"/>
      <c r="J75" s="75"/>
      <c r="K75" s="81"/>
    </row>
    <row r="76" spans="1:11" ht="16.5" thickBot="1">
      <c r="A76" s="53"/>
      <c r="B76" s="54"/>
      <c r="C76" s="54"/>
      <c r="D76" s="55"/>
      <c r="E76" s="54"/>
      <c r="F76" s="56"/>
      <c r="G76" s="54"/>
      <c r="H76" s="54"/>
      <c r="I76" s="54"/>
      <c r="J76" s="54"/>
      <c r="K76" s="84"/>
    </row>
    <row r="77" spans="1:11" ht="13.5" thickTop="1"/>
  </sheetData>
  <mergeCells count="2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 ref="F64:H64"/>
    <mergeCell ref="B72:F72"/>
    <mergeCell ref="G72:H72"/>
    <mergeCell ref="B73:F73"/>
    <mergeCell ref="G73:J73"/>
    <mergeCell ref="B69:F69"/>
    <mergeCell ref="G69:H69"/>
    <mergeCell ref="B70:F70"/>
    <mergeCell ref="G70:H70"/>
    <mergeCell ref="B71:F71"/>
    <mergeCell ref="G71:H71"/>
    <mergeCell ref="B68:F68"/>
    <mergeCell ref="G68:I68"/>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71AA6-FDE1-40B3-90BE-E8D8983FC7E9}">
  <dimension ref="A1:S78"/>
  <sheetViews>
    <sheetView showGridLines="0" tabSelected="1" view="pageBreakPreview" topLeftCell="A60" zoomScale="80" zoomScaleNormal="86" zoomScaleSheetLayoutView="80" workbookViewId="0">
      <selection activeCell="C75" sqref="C75:E75"/>
    </sheetView>
  </sheetViews>
  <sheetFormatPr baseColWidth="10" defaultColWidth="11.42578125" defaultRowHeight="16.5"/>
  <cols>
    <col min="1" max="2" width="3.42578125" style="2" customWidth="1"/>
    <col min="3" max="3" width="5.140625" style="2" customWidth="1"/>
    <col min="4" max="4" width="14.28515625" style="2" customWidth="1"/>
    <col min="5" max="5" width="73.28515625" style="2" customWidth="1"/>
    <col min="6" max="6" width="8.7109375" style="2" customWidth="1"/>
    <col min="7" max="7" width="18.85546875" style="2" customWidth="1"/>
    <col min="8" max="8" width="23.85546875" style="2" customWidth="1"/>
    <col min="9" max="9" width="30" style="2" customWidth="1"/>
    <col min="10" max="10" width="3.28515625" style="2" customWidth="1"/>
    <col min="11" max="11" width="2.7109375" style="2" customWidth="1"/>
    <col min="12" max="12" width="11.42578125" style="2"/>
    <col min="13" max="13" width="17.5703125" style="2" customWidth="1"/>
    <col min="14" max="14" width="24.42578125" style="2" customWidth="1"/>
    <col min="15" max="15" width="26.42578125" style="2" customWidth="1"/>
    <col min="16" max="16" width="11.42578125" style="2"/>
    <col min="17" max="17" width="17" style="2" bestFit="1" customWidth="1"/>
    <col min="18" max="16384" width="11.42578125" style="2"/>
  </cols>
  <sheetData>
    <row r="1" spans="1:14" ht="17.25" thickBot="1">
      <c r="A1" s="1"/>
      <c r="B1" s="1"/>
      <c r="C1" s="1"/>
      <c r="D1" s="1"/>
      <c r="E1" s="1"/>
      <c r="F1" s="1"/>
      <c r="G1" s="1"/>
      <c r="H1" s="1"/>
      <c r="I1" s="1"/>
      <c r="J1" s="1"/>
      <c r="K1" s="1"/>
    </row>
    <row r="2" spans="1:14" ht="17.25" thickTop="1">
      <c r="A2" s="1"/>
      <c r="B2" s="3"/>
      <c r="C2" s="4"/>
      <c r="D2" s="4"/>
      <c r="E2" s="4"/>
      <c r="F2" s="4"/>
      <c r="G2" s="4"/>
      <c r="H2" s="4"/>
      <c r="I2" s="4"/>
      <c r="J2" s="6"/>
      <c r="K2" s="1"/>
    </row>
    <row r="3" spans="1:14">
      <c r="A3" s="1"/>
      <c r="B3" s="7"/>
      <c r="C3" s="458" t="s">
        <v>0</v>
      </c>
      <c r="D3" s="459"/>
      <c r="E3" s="1"/>
      <c r="F3" s="1"/>
      <c r="G3" s="1"/>
      <c r="H3" s="1"/>
      <c r="I3" s="1"/>
      <c r="J3" s="8"/>
      <c r="K3" s="1"/>
    </row>
    <row r="4" spans="1:14">
      <c r="A4" s="1"/>
      <c r="B4" s="7"/>
      <c r="C4" s="69" t="s">
        <v>1</v>
      </c>
      <c r="D4" s="70" t="s">
        <v>2</v>
      </c>
      <c r="E4" s="1"/>
      <c r="F4" s="1"/>
      <c r="G4" s="1"/>
      <c r="H4" s="1"/>
      <c r="I4" s="1"/>
      <c r="J4" s="8"/>
      <c r="K4" s="1"/>
    </row>
    <row r="5" spans="1:14">
      <c r="A5" s="1"/>
      <c r="B5" s="7"/>
      <c r="C5" s="460" t="s">
        <v>4</v>
      </c>
      <c r="D5" s="461"/>
      <c r="E5" s="461"/>
      <c r="F5" s="461"/>
      <c r="G5" s="461"/>
      <c r="H5" s="461"/>
      <c r="I5" s="462"/>
      <c r="J5" s="8"/>
      <c r="K5" s="1"/>
    </row>
    <row r="6" spans="1:14">
      <c r="A6" s="1"/>
      <c r="B6" s="7"/>
      <c r="C6" s="463" t="s">
        <v>5</v>
      </c>
      <c r="D6" s="464"/>
      <c r="E6" s="464"/>
      <c r="F6" s="464"/>
      <c r="G6" s="464"/>
      <c r="H6" s="464"/>
      <c r="I6" s="465"/>
      <c r="J6" s="8"/>
      <c r="K6" s="1"/>
    </row>
    <row r="7" spans="1:14">
      <c r="A7" s="9"/>
      <c r="B7" s="10"/>
      <c r="C7" s="466" t="s">
        <v>46</v>
      </c>
      <c r="D7" s="466"/>
      <c r="E7" s="466"/>
      <c r="F7" s="466"/>
      <c r="G7" s="466"/>
      <c r="H7" s="466"/>
      <c r="I7" s="466"/>
      <c r="J7" s="11"/>
      <c r="K7" s="1"/>
    </row>
    <row r="8" spans="1:14" ht="45.75" customHeight="1">
      <c r="A8" s="1"/>
      <c r="B8" s="7"/>
      <c r="C8" s="450"/>
      <c r="D8" s="450"/>
      <c r="E8" s="450"/>
      <c r="F8" s="450"/>
      <c r="G8" s="450"/>
      <c r="H8" s="450"/>
      <c r="I8" s="450"/>
      <c r="J8" s="8"/>
      <c r="K8" s="1"/>
    </row>
    <row r="9" spans="1:14" ht="45.75" customHeight="1" thickBot="1">
      <c r="A9" s="1"/>
      <c r="B9" s="7"/>
      <c r="C9" s="467" t="s">
        <v>47</v>
      </c>
      <c r="D9" s="453"/>
      <c r="E9" s="453"/>
      <c r="F9" s="453"/>
      <c r="G9" s="453"/>
      <c r="H9" s="453"/>
      <c r="I9" s="468"/>
      <c r="J9" s="8"/>
      <c r="K9" s="1"/>
    </row>
    <row r="10" spans="1:14" ht="47.25" customHeight="1" thickBot="1">
      <c r="A10" s="1"/>
      <c r="B10" s="7"/>
      <c r="C10" s="455" t="s">
        <v>359</v>
      </c>
      <c r="D10" s="456"/>
      <c r="E10" s="456"/>
      <c r="F10" s="456"/>
      <c r="G10" s="456"/>
      <c r="H10" s="456"/>
      <c r="I10" s="457"/>
      <c r="J10" s="8"/>
      <c r="K10" s="1"/>
    </row>
    <row r="11" spans="1:14" ht="30" customHeight="1">
      <c r="A11" s="1"/>
      <c r="B11" s="7"/>
      <c r="C11" s="440" t="s">
        <v>48</v>
      </c>
      <c r="D11" s="431" t="s">
        <v>8</v>
      </c>
      <c r="E11" s="440" t="s">
        <v>10</v>
      </c>
      <c r="F11" s="431" t="s">
        <v>11</v>
      </c>
      <c r="G11" s="431" t="s">
        <v>12</v>
      </c>
      <c r="H11" s="433" t="s">
        <v>13</v>
      </c>
      <c r="I11" s="435" t="s">
        <v>14</v>
      </c>
      <c r="J11" s="8"/>
      <c r="K11" s="1"/>
    </row>
    <row r="12" spans="1:14" ht="30" customHeight="1" thickBot="1">
      <c r="A12" s="1"/>
      <c r="B12" s="7"/>
      <c r="C12" s="441"/>
      <c r="D12" s="432"/>
      <c r="E12" s="441"/>
      <c r="F12" s="432"/>
      <c r="G12" s="432"/>
      <c r="H12" s="434"/>
      <c r="I12" s="436"/>
      <c r="J12" s="8"/>
      <c r="K12" s="1"/>
    </row>
    <row r="13" spans="1:14" ht="30" customHeight="1" thickBot="1">
      <c r="A13" s="1"/>
      <c r="B13" s="7"/>
      <c r="C13" s="254"/>
      <c r="D13" s="256"/>
      <c r="E13" s="256" t="s">
        <v>17</v>
      </c>
      <c r="F13" s="256"/>
      <c r="G13" s="256"/>
      <c r="H13" s="256"/>
      <c r="I13" s="257"/>
      <c r="J13" s="8"/>
      <c r="K13" s="1"/>
    </row>
    <row r="14" spans="1:14" ht="30" customHeight="1">
      <c r="A14" s="1"/>
      <c r="B14" s="7"/>
      <c r="C14" s="349">
        <v>1</v>
      </c>
      <c r="D14" s="189" t="str">
        <f>+APU!A6</f>
        <v>001.044</v>
      </c>
      <c r="E14" s="163" t="str">
        <f>+APU!C6</f>
        <v xml:space="preserve">DESCAPOTE MANUAL e=0.20 m. </v>
      </c>
      <c r="F14" s="162" t="str">
        <f>+APU!E6</f>
        <v>M2</v>
      </c>
      <c r="G14" s="164">
        <v>1</v>
      </c>
      <c r="H14" s="64">
        <f>APU!J6</f>
        <v>3949</v>
      </c>
      <c r="I14" s="60">
        <f t="shared" ref="I14:I23" si="0">ROUND(H14*G14,0)</f>
        <v>3949</v>
      </c>
      <c r="J14" s="8"/>
      <c r="K14" s="1"/>
      <c r="N14" s="59"/>
    </row>
    <row r="15" spans="1:14" ht="30" customHeight="1">
      <c r="A15" s="1"/>
      <c r="B15" s="7"/>
      <c r="C15" s="349">
        <v>2</v>
      </c>
      <c r="D15" s="189" t="str">
        <f>+APU!A12</f>
        <v>029.014-1</v>
      </c>
      <c r="E15" s="163" t="str">
        <f>+APU!C12</f>
        <v>DEMOLICION DE PAVIMENTO CONCRETO HIDRAULICO CON EQUIPO MECANICO INCLUYE RETIRO</v>
      </c>
      <c r="F15" s="162" t="str">
        <f>+APU!E12</f>
        <v>M3</v>
      </c>
      <c r="G15" s="164">
        <v>1</v>
      </c>
      <c r="H15" s="64">
        <f>APU!J12</f>
        <v>193915</v>
      </c>
      <c r="I15" s="60">
        <f t="shared" si="0"/>
        <v>193915</v>
      </c>
      <c r="J15" s="8"/>
      <c r="K15" s="1"/>
      <c r="N15" s="59"/>
    </row>
    <row r="16" spans="1:14" ht="30" customHeight="1">
      <c r="A16" s="1"/>
      <c r="B16" s="7"/>
      <c r="C16" s="13">
        <v>3</v>
      </c>
      <c r="D16" s="189" t="str">
        <f>+APU!A20</f>
        <v>029.015</v>
      </c>
      <c r="E16" s="163" t="str">
        <f>+APU!C20</f>
        <v xml:space="preserve">DEMOLICION DE PAVIMENTO CONCRETO HIDRAULICO MANUAL </v>
      </c>
      <c r="F16" s="162" t="str">
        <f>+APU!E20</f>
        <v>M3</v>
      </c>
      <c r="G16" s="164">
        <v>1</v>
      </c>
      <c r="H16" s="64">
        <f>APU!J20</f>
        <v>311620</v>
      </c>
      <c r="I16" s="60">
        <f t="shared" si="0"/>
        <v>311620</v>
      </c>
      <c r="J16" s="8"/>
      <c r="K16" s="1"/>
      <c r="N16" s="59"/>
    </row>
    <row r="17" spans="1:14" ht="30" customHeight="1">
      <c r="A17" s="1"/>
      <c r="B17" s="7"/>
      <c r="C17" s="349">
        <v>4</v>
      </c>
      <c r="D17" s="189">
        <f>+APU!A27</f>
        <v>29013</v>
      </c>
      <c r="E17" s="163" t="str">
        <f>+APU!C27</f>
        <v xml:space="preserve">DEMOLICION DE PAVIMENTO CONCRETO ASFALTICO </v>
      </c>
      <c r="F17" s="162" t="str">
        <f>+APU!E27</f>
        <v>M3</v>
      </c>
      <c r="G17" s="164">
        <v>1</v>
      </c>
      <c r="H17" s="64">
        <f>APU!J27</f>
        <v>156561</v>
      </c>
      <c r="I17" s="60">
        <f t="shared" si="0"/>
        <v>156561</v>
      </c>
      <c r="J17" s="8"/>
      <c r="K17" s="1"/>
      <c r="N17" s="59"/>
    </row>
    <row r="18" spans="1:14" ht="30" customHeight="1">
      <c r="A18" s="1"/>
      <c r="B18" s="7"/>
      <c r="C18" s="349">
        <v>5</v>
      </c>
      <c r="D18" s="189" t="str">
        <f>+APU!A35</f>
        <v>029.007</v>
      </c>
      <c r="E18" s="163" t="str">
        <f>+APU!C35</f>
        <v>DEMOLICIÓN DE ANDENES Y SARDINELES EN CONCRETO HIDRÁULICO</v>
      </c>
      <c r="F18" s="162" t="str">
        <f>+APU!E35</f>
        <v>M3</v>
      </c>
      <c r="G18" s="164">
        <v>1</v>
      </c>
      <c r="H18" s="64">
        <f>APU!J35</f>
        <v>138162</v>
      </c>
      <c r="I18" s="60">
        <f t="shared" si="0"/>
        <v>138162</v>
      </c>
      <c r="J18" s="8"/>
      <c r="K18" s="1"/>
      <c r="N18" s="59"/>
    </row>
    <row r="19" spans="1:14" ht="30" customHeight="1">
      <c r="A19" s="1"/>
      <c r="B19" s="7"/>
      <c r="C19" s="349">
        <v>6</v>
      </c>
      <c r="D19" s="189" t="str">
        <f>+APU!A42</f>
        <v>002.016-1</v>
      </c>
      <c r="E19" s="163" t="str">
        <f>+APU!C42</f>
        <v xml:space="preserve">EXCAVACIÓN A CIELO ABIERTO - MATERIAL COMÚN - 0.0 A 2.0 M                                                                            </v>
      </c>
      <c r="F19" s="162" t="str">
        <f>+APU!E42</f>
        <v>M3</v>
      </c>
      <c r="G19" s="164">
        <v>1</v>
      </c>
      <c r="H19" s="64">
        <f>APU!J42</f>
        <v>45166</v>
      </c>
      <c r="I19" s="60">
        <f t="shared" si="0"/>
        <v>45166</v>
      </c>
      <c r="J19" s="8"/>
      <c r="K19" s="1"/>
      <c r="N19" s="59"/>
    </row>
    <row r="20" spans="1:14" ht="30" customHeight="1">
      <c r="A20" s="1"/>
      <c r="B20" s="7"/>
      <c r="C20" s="13">
        <v>7</v>
      </c>
      <c r="D20" s="380" t="s">
        <v>324</v>
      </c>
      <c r="E20" s="381" t="s">
        <v>325</v>
      </c>
      <c r="F20" s="382" t="s">
        <v>80</v>
      </c>
      <c r="G20" s="164">
        <v>1</v>
      </c>
      <c r="H20" s="64">
        <f>APU!J47</f>
        <v>168527</v>
      </c>
      <c r="I20" s="60">
        <f t="shared" si="0"/>
        <v>168527</v>
      </c>
      <c r="J20" s="8"/>
      <c r="K20" s="1"/>
      <c r="N20" s="59"/>
    </row>
    <row r="21" spans="1:14" ht="30" customHeight="1">
      <c r="A21" s="1"/>
      <c r="B21" s="7"/>
      <c r="C21" s="349">
        <v>8</v>
      </c>
      <c r="D21" s="380" t="s">
        <v>326</v>
      </c>
      <c r="E21" s="381" t="s">
        <v>327</v>
      </c>
      <c r="F21" s="382" t="s">
        <v>80</v>
      </c>
      <c r="G21" s="164">
        <v>1</v>
      </c>
      <c r="H21" s="64">
        <f>APU!J53</f>
        <v>47546</v>
      </c>
      <c r="I21" s="60">
        <f t="shared" si="0"/>
        <v>47546</v>
      </c>
      <c r="J21" s="8"/>
      <c r="K21" s="1"/>
      <c r="N21" s="59"/>
    </row>
    <row r="22" spans="1:14" ht="30" customHeight="1">
      <c r="A22" s="1"/>
      <c r="B22" s="7"/>
      <c r="C22" s="13">
        <v>9</v>
      </c>
      <c r="D22" s="189" t="str">
        <f>+APU!A58</f>
        <v>002.017-1</v>
      </c>
      <c r="E22" s="163" t="str">
        <f>+APU!C58</f>
        <v>EXCAVACIÓN A CIELO ABIERTO - CONGLOMERADO - 0.0 A 2.0 M</v>
      </c>
      <c r="F22" s="162" t="str">
        <f>+APU!E58</f>
        <v>M3</v>
      </c>
      <c r="G22" s="164">
        <v>1</v>
      </c>
      <c r="H22" s="64">
        <f>APU!J58</f>
        <v>65935</v>
      </c>
      <c r="I22" s="60">
        <f t="shared" si="0"/>
        <v>65935</v>
      </c>
      <c r="J22" s="8"/>
      <c r="K22" s="1"/>
      <c r="N22" s="59"/>
    </row>
    <row r="23" spans="1:14" ht="30" customHeight="1">
      <c r="A23" s="1"/>
      <c r="B23" s="7"/>
      <c r="C23" s="349">
        <v>10</v>
      </c>
      <c r="D23" s="169" t="str">
        <f>+APU!A63</f>
        <v>001.060</v>
      </c>
      <c r="E23" s="163" t="str">
        <f>+APU!C63</f>
        <v>SUMINISTRO, TRANSPORTE E INSTALACION TECHADO MOVIBLE EN GUADUA Y PLÁSTICO</v>
      </c>
      <c r="F23" s="162" t="str">
        <f>+APU!E63</f>
        <v>M2</v>
      </c>
      <c r="G23" s="164">
        <v>1</v>
      </c>
      <c r="H23" s="64">
        <f>APU!J63</f>
        <v>13452</v>
      </c>
      <c r="I23" s="60">
        <f t="shared" si="0"/>
        <v>13452</v>
      </c>
      <c r="J23" s="8"/>
      <c r="K23" s="1"/>
      <c r="N23" s="59"/>
    </row>
    <row r="24" spans="1:14" ht="30" customHeight="1" thickBot="1">
      <c r="A24" s="1"/>
      <c r="B24" s="7"/>
      <c r="C24" s="350"/>
      <c r="D24" s="162"/>
      <c r="E24" s="163"/>
      <c r="F24" s="162"/>
      <c r="G24" s="63"/>
      <c r="H24" s="65"/>
      <c r="I24" s="190">
        <f>SUM(I14:I23)</f>
        <v>1144833</v>
      </c>
      <c r="J24" s="8"/>
      <c r="K24" s="1"/>
      <c r="N24" s="59"/>
    </row>
    <row r="25" spans="1:14" ht="30" customHeight="1" thickBot="1">
      <c r="A25" s="1"/>
      <c r="B25" s="7"/>
      <c r="C25" s="15"/>
      <c r="D25" s="254"/>
      <c r="E25" s="256" t="s">
        <v>19</v>
      </c>
      <c r="F25" s="256"/>
      <c r="G25" s="256"/>
      <c r="H25" s="256"/>
      <c r="I25" s="256"/>
      <c r="J25" s="8"/>
      <c r="K25" s="1"/>
      <c r="N25" s="59"/>
    </row>
    <row r="26" spans="1:14" ht="30" customHeight="1">
      <c r="A26" s="1"/>
      <c r="B26" s="7"/>
      <c r="C26" s="13">
        <v>11</v>
      </c>
      <c r="D26" s="189" t="str">
        <f>+APU!A71</f>
        <v>023.008-1</v>
      </c>
      <c r="E26" s="163" t="str">
        <f>+APU!C71</f>
        <v xml:space="preserve">SUMINISTRO, TRANSPORTE E INSTALACION AFIRMADO COMPACTADO PARA ANDENES </v>
      </c>
      <c r="F26" s="162" t="str">
        <f>+APU!E71</f>
        <v>M3</v>
      </c>
      <c r="G26" s="164">
        <v>1</v>
      </c>
      <c r="H26" s="262">
        <f>APU!J71</f>
        <v>203241</v>
      </c>
      <c r="I26" s="60">
        <f>ROUND(H26*G26,0)</f>
        <v>203241</v>
      </c>
      <c r="J26" s="8"/>
      <c r="K26" s="1"/>
      <c r="N26" s="59"/>
    </row>
    <row r="27" spans="1:14" ht="33" customHeight="1">
      <c r="A27" s="1"/>
      <c r="B27" s="7"/>
      <c r="C27" s="13">
        <v>12</v>
      </c>
      <c r="D27" s="169" t="str">
        <f>+APU!A78</f>
        <v>023.012-1</v>
      </c>
      <c r="E27" s="163" t="str">
        <f>+APU!C78</f>
        <v>SUMINISTRO, TRANSPORTE E INSTALACION SUB BASE COMPACTADA CON CILINDRO</v>
      </c>
      <c r="F27" s="162" t="str">
        <f>+APU!E78</f>
        <v>M3</v>
      </c>
      <c r="G27" s="164">
        <v>1</v>
      </c>
      <c r="H27" s="66">
        <f>APU!J78</f>
        <v>235153</v>
      </c>
      <c r="I27" s="60">
        <f>ROUND(H27*G27,0)</f>
        <v>235153</v>
      </c>
      <c r="J27" s="8"/>
      <c r="K27" s="1"/>
      <c r="N27" s="59"/>
    </row>
    <row r="28" spans="1:14" ht="30" customHeight="1" thickBot="1">
      <c r="A28" s="1"/>
      <c r="B28" s="7"/>
      <c r="C28" s="19" t="s">
        <v>18</v>
      </c>
      <c r="D28" s="20"/>
      <c r="E28" s="20"/>
      <c r="F28" s="20"/>
      <c r="G28" s="63"/>
      <c r="H28" s="68"/>
      <c r="I28" s="61">
        <f>SUM(I26:I27)</f>
        <v>438394</v>
      </c>
      <c r="J28" s="8"/>
      <c r="K28" s="1"/>
      <c r="N28" s="59"/>
    </row>
    <row r="29" spans="1:14" ht="30" customHeight="1" thickBot="1">
      <c r="A29" s="1"/>
      <c r="B29" s="7"/>
      <c r="C29" s="254"/>
      <c r="D29" s="254"/>
      <c r="E29" s="256" t="s">
        <v>20</v>
      </c>
      <c r="F29" s="256"/>
      <c r="G29" s="256"/>
      <c r="H29" s="256"/>
      <c r="I29" s="256"/>
      <c r="J29" s="8"/>
      <c r="K29" s="1"/>
      <c r="N29" s="59"/>
    </row>
    <row r="30" spans="1:14" ht="45.75" customHeight="1">
      <c r="A30" s="1"/>
      <c r="B30" s="7"/>
      <c r="C30" s="13">
        <v>13</v>
      </c>
      <c r="D30" s="191" t="str">
        <f>+APU!A87</f>
        <v>023.028</v>
      </c>
      <c r="E30" s="171" t="str">
        <f>+APU!C87</f>
        <v>SUMINISTRO, TRANSPORTE E INSTALACION PAVIMENTO EN CONCRETO MR 42 HECHO EN OBRA</v>
      </c>
      <c r="F30" s="162" t="str">
        <f>+APU!E87</f>
        <v>M3</v>
      </c>
      <c r="G30" s="164">
        <v>1</v>
      </c>
      <c r="H30" s="85">
        <f>APU!J87</f>
        <v>1231618</v>
      </c>
      <c r="I30" s="263">
        <f>ROUND(H30*G30,0)</f>
        <v>1231618</v>
      </c>
      <c r="J30" s="8"/>
      <c r="K30" s="1"/>
      <c r="N30" s="59"/>
    </row>
    <row r="31" spans="1:14" ht="45.75" customHeight="1">
      <c r="A31" s="1"/>
      <c r="B31" s="7"/>
      <c r="C31" s="13">
        <v>14</v>
      </c>
      <c r="D31" s="191" t="str">
        <f>+APU!A100</f>
        <v>023.006-1</v>
      </c>
      <c r="E31" s="171" t="str">
        <f>+APU!C100</f>
        <v>SUMINISTRO, TRANSPORTE E INSTALACION PAVIMENTO EN CONCRETO PREMEZCLADO MR 42 (Rutas de alto tráfico)</v>
      </c>
      <c r="F31" s="162" t="str">
        <f>+APU!E100</f>
        <v>M3</v>
      </c>
      <c r="G31" s="164">
        <v>1</v>
      </c>
      <c r="H31" s="386">
        <f>APU!J100</f>
        <v>1423711</v>
      </c>
      <c r="I31" s="14">
        <f>ROUND(H31*G31,0)</f>
        <v>1423711</v>
      </c>
      <c r="J31" s="8"/>
      <c r="K31" s="1"/>
      <c r="N31" s="59"/>
    </row>
    <row r="32" spans="1:14" ht="45.75" customHeight="1">
      <c r="A32" s="1"/>
      <c r="B32" s="7"/>
      <c r="C32" s="13">
        <v>15</v>
      </c>
      <c r="D32" s="191" t="str">
        <f>+APU!A113</f>
        <v>023.002</v>
      </c>
      <c r="E32" s="171" t="str">
        <f>+APU!C113</f>
        <v>SUMINISTRO, TRANSPORTE E INSTALACION IMPRIMACION CON EMULSION ASFALTICA según norma INVIAS.</v>
      </c>
      <c r="F32" s="162" t="str">
        <f>+APU!E113</f>
        <v>M2</v>
      </c>
      <c r="G32" s="164">
        <v>1</v>
      </c>
      <c r="H32" s="85">
        <f>APU!J113</f>
        <v>6798</v>
      </c>
      <c r="I32" s="14">
        <f>ROUND(H32*G32,0)</f>
        <v>6798</v>
      </c>
      <c r="J32" s="8"/>
      <c r="K32" s="1"/>
      <c r="N32" s="59"/>
    </row>
    <row r="33" spans="1:14" ht="51.75" customHeight="1">
      <c r="A33" s="1"/>
      <c r="B33" s="7"/>
      <c r="C33" s="13">
        <v>16</v>
      </c>
      <c r="D33" s="191" t="str">
        <f>+APU!A122</f>
        <v>023.004-1</v>
      </c>
      <c r="E33" s="171" t="str">
        <f>+APU!C122</f>
        <v>SUMINISTRO, TRANSPORTE E INSTALACION  MEZCLA ASFALTICA TIPO MDC-19. Extendido y compactado (INCLUYE TRANSPORTE - DISTANCIA 60 KM)</v>
      </c>
      <c r="F33" s="162" t="str">
        <f>+APU!E122</f>
        <v>M3</v>
      </c>
      <c r="G33" s="164">
        <v>1</v>
      </c>
      <c r="H33" s="386">
        <f>APU!J122</f>
        <v>1388542</v>
      </c>
      <c r="I33" s="14">
        <f>ROUND(H33*G33,0)</f>
        <v>1388542</v>
      </c>
      <c r="J33" s="8"/>
      <c r="K33" s="1"/>
      <c r="N33" s="59"/>
    </row>
    <row r="34" spans="1:14" ht="45.75" customHeight="1">
      <c r="A34" s="1"/>
      <c r="B34" s="7"/>
      <c r="C34" s="13">
        <v>17</v>
      </c>
      <c r="D34" s="191" t="str">
        <f>+APU!A134</f>
        <v>023.031-1</v>
      </c>
      <c r="E34" s="171" t="str">
        <f>+APU!C134</f>
        <v>SUMINISTRO, TRANSPORTE E INSTALACION  MEZCLA ASFALTICA TIPO MDC-19 PARA PARCHEO MANTENIMIENTO (INCLUYE TRANSPORTE - DISTANCIA 60 KM)</v>
      </c>
      <c r="F34" s="162" t="str">
        <f>+APU!E134</f>
        <v>M3</v>
      </c>
      <c r="G34" s="164">
        <v>1</v>
      </c>
      <c r="H34" s="386">
        <f>APU!J134</f>
        <v>1546767</v>
      </c>
      <c r="I34" s="14">
        <f>ROUND(H34*G34,0)</f>
        <v>1546767</v>
      </c>
      <c r="J34" s="8"/>
      <c r="K34" s="1"/>
      <c r="N34" s="59"/>
    </row>
    <row r="35" spans="1:14" ht="30" customHeight="1" thickBot="1">
      <c r="A35" s="1"/>
      <c r="B35" s="7"/>
      <c r="C35" s="23" t="s">
        <v>18</v>
      </c>
      <c r="D35" s="24"/>
      <c r="E35" s="25"/>
      <c r="F35" s="24"/>
      <c r="G35" s="63"/>
      <c r="H35" s="192"/>
      <c r="I35" s="62">
        <f>SUM(I30:I34)</f>
        <v>5597436</v>
      </c>
      <c r="J35" s="8"/>
      <c r="K35" s="1"/>
      <c r="N35" s="59"/>
    </row>
    <row r="36" spans="1:14" ht="30" customHeight="1" thickBot="1">
      <c r="A36" s="1"/>
      <c r="B36" s="7"/>
      <c r="C36" s="254"/>
      <c r="D36" s="256"/>
      <c r="E36" s="256" t="s">
        <v>21</v>
      </c>
      <c r="F36" s="256"/>
      <c r="G36" s="256"/>
      <c r="H36" s="256"/>
      <c r="I36" s="89"/>
      <c r="J36" s="8"/>
      <c r="K36" s="1"/>
      <c r="N36" s="59"/>
    </row>
    <row r="37" spans="1:14" ht="41.25" customHeight="1">
      <c r="A37" s="1"/>
      <c r="B37" s="7"/>
      <c r="C37" s="264">
        <v>18</v>
      </c>
      <c r="D37" s="265" t="str">
        <f>+APU!A144</f>
        <v>021.052</v>
      </c>
      <c r="E37" s="266" t="str">
        <f>+APU!C144</f>
        <v>SUMINISTRO, TRANSPORTE E INSTALACION ANDEN CONCRETO 3000 PSI  E= 0.10M.  ACABADO:  ESCOBIADO</v>
      </c>
      <c r="F37" s="162" t="str">
        <f>+APU!E144</f>
        <v>M2</v>
      </c>
      <c r="G37" s="164">
        <v>1</v>
      </c>
      <c r="H37" s="267">
        <f>APU!J144</f>
        <v>113611</v>
      </c>
      <c r="I37" s="263">
        <f>ROUND(H37*G37,0)</f>
        <v>113611</v>
      </c>
      <c r="J37" s="8"/>
      <c r="K37" s="1"/>
      <c r="N37" s="59"/>
    </row>
    <row r="38" spans="1:14" ht="57" customHeight="1">
      <c r="A38" s="1"/>
      <c r="B38" s="7"/>
      <c r="C38" s="349">
        <v>19</v>
      </c>
      <c r="D38" s="191" t="str">
        <f>+APU!A154</f>
        <v>021.016</v>
      </c>
      <c r="E38" s="171" t="str">
        <f>+APU!C154</f>
        <v>SUMINISTRO, TRANSPORTE E INSTALACION SARDINEL ANCHO = 20 CM H =  ENTRE  17 Y 24 CM  EN CONCRETO 3000 PSI</v>
      </c>
      <c r="F38" s="162" t="str">
        <f>+APU!E154</f>
        <v>ML</v>
      </c>
      <c r="G38" s="164">
        <v>1</v>
      </c>
      <c r="H38" s="86">
        <f>APU!J154</f>
        <v>85836</v>
      </c>
      <c r="I38" s="14">
        <f>ROUND(H38*G38,0)</f>
        <v>85836</v>
      </c>
      <c r="J38" s="8"/>
      <c r="K38" s="1"/>
      <c r="N38" s="59"/>
    </row>
    <row r="39" spans="1:14" ht="57" customHeight="1">
      <c r="A39" s="1"/>
      <c r="B39" s="7"/>
      <c r="C39" s="349">
        <v>20</v>
      </c>
      <c r="D39" s="193" t="str">
        <f>+APU!A163</f>
        <v>021.034</v>
      </c>
      <c r="E39" s="171" t="str">
        <f>+APU!C163</f>
        <v>SUMINISTRO, TRANSPORTE E INSTALACION ESCALAS CONCRETO 3000 PSI E= 0.10M.  SOBRE TIERRA ACABADO ESCOBIADO</v>
      </c>
      <c r="F39" s="162" t="str">
        <f>+APU!E163</f>
        <v>M2</v>
      </c>
      <c r="G39" s="164">
        <v>1</v>
      </c>
      <c r="H39" s="86">
        <f>APU!J163</f>
        <v>216223</v>
      </c>
      <c r="I39" s="14">
        <f>ROUND(H39*G39,0)</f>
        <v>216223</v>
      </c>
      <c r="J39" s="8"/>
      <c r="K39" s="1"/>
      <c r="N39" s="59"/>
    </row>
    <row r="40" spans="1:14" ht="30" customHeight="1" thickBot="1">
      <c r="A40" s="1"/>
      <c r="B40" s="7"/>
      <c r="C40" s="19" t="s">
        <v>18</v>
      </c>
      <c r="D40" s="28"/>
      <c r="E40" s="29"/>
      <c r="F40" s="30"/>
      <c r="G40" s="67"/>
      <c r="H40" s="87"/>
      <c r="I40" s="22">
        <f>SUM(I37:I39)</f>
        <v>415670</v>
      </c>
      <c r="J40" s="8"/>
      <c r="K40" s="1"/>
      <c r="N40" s="59"/>
    </row>
    <row r="41" spans="1:14" ht="30" customHeight="1" thickBot="1">
      <c r="A41" s="1"/>
      <c r="B41" s="7"/>
      <c r="C41" s="15"/>
      <c r="D41" s="16"/>
      <c r="E41" s="16" t="s">
        <v>22</v>
      </c>
      <c r="F41" s="16"/>
      <c r="G41" s="16"/>
      <c r="H41" s="16"/>
      <c r="I41" s="257"/>
      <c r="J41" s="8"/>
      <c r="K41" s="1"/>
      <c r="N41" s="59"/>
    </row>
    <row r="42" spans="1:14" ht="30" customHeight="1">
      <c r="A42" s="1"/>
      <c r="B42" s="7"/>
      <c r="C42" s="13">
        <v>21</v>
      </c>
      <c r="D42" s="191" t="str">
        <f>+APU!A175</f>
        <v>023.034</v>
      </c>
      <c r="E42" s="171" t="str">
        <f>+APU!C175</f>
        <v>CORTE MECANIZADO DE PAVIMENTO 5 mm</v>
      </c>
      <c r="F42" s="162" t="str">
        <f>+APU!E175</f>
        <v>ML</v>
      </c>
      <c r="G42" s="164">
        <v>1</v>
      </c>
      <c r="H42" s="268">
        <f>APU!J175</f>
        <v>13645</v>
      </c>
      <c r="I42" s="263">
        <f>ROUND(H42*G42,0)</f>
        <v>13645</v>
      </c>
      <c r="J42" s="8"/>
      <c r="K42" s="1"/>
      <c r="N42" s="59"/>
    </row>
    <row r="43" spans="1:14" ht="30" customHeight="1">
      <c r="A43" s="1"/>
      <c r="B43" s="7"/>
      <c r="C43" s="13">
        <v>22</v>
      </c>
      <c r="D43" s="191" t="str">
        <f>+APU!A181</f>
        <v>032.015</v>
      </c>
      <c r="E43" s="171" t="str">
        <f>+APU!C181</f>
        <v>CORTE MECANIZADO DE ANDEN EN CONCRETO CON DISCO (3,5CM)</v>
      </c>
      <c r="F43" s="162" t="str">
        <f>+APU!E181</f>
        <v>ML</v>
      </c>
      <c r="G43" s="164">
        <v>1</v>
      </c>
      <c r="H43" s="64">
        <f>APU!J181</f>
        <v>11058</v>
      </c>
      <c r="I43" s="14">
        <f>ROUND(H43*G43,0)</f>
        <v>11058</v>
      </c>
      <c r="J43" s="8"/>
      <c r="K43" s="1"/>
      <c r="N43" s="59"/>
    </row>
    <row r="44" spans="1:14" ht="30" customHeight="1">
      <c r="A44" s="1"/>
      <c r="B44" s="7"/>
      <c r="C44" s="349">
        <v>23</v>
      </c>
      <c r="D44" s="194" t="str">
        <f>+APU!A187</f>
        <v>023.036</v>
      </c>
      <c r="E44" s="175" t="str">
        <f>+APU!C187</f>
        <v>SUMINISTRO, TRANSPORTE E INSTALACION SELLO DE JUNTA DE PAVIMENTO RIGIDO 5mm</v>
      </c>
      <c r="F44" s="162" t="str">
        <f>+APU!E187</f>
        <v>ML</v>
      </c>
      <c r="G44" s="164">
        <v>1</v>
      </c>
      <c r="H44" s="64">
        <f>APU!J187</f>
        <v>12345</v>
      </c>
      <c r="I44" s="14">
        <f>ROUND(H44*G44,0)</f>
        <v>12345</v>
      </c>
      <c r="J44" s="8"/>
      <c r="K44" s="1"/>
      <c r="N44" s="59"/>
    </row>
    <row r="45" spans="1:14" ht="30" customHeight="1" thickBot="1">
      <c r="A45" s="1"/>
      <c r="B45" s="7"/>
      <c r="C45" s="19" t="s">
        <v>18</v>
      </c>
      <c r="D45" s="176"/>
      <c r="E45" s="177"/>
      <c r="F45" s="178"/>
      <c r="G45" s="195"/>
      <c r="H45" s="196"/>
      <c r="I45" s="88">
        <f>SUM(I42:I44)</f>
        <v>37048</v>
      </c>
      <c r="J45" s="8"/>
      <c r="K45" s="1"/>
      <c r="N45" s="59"/>
    </row>
    <row r="46" spans="1:14" ht="30" customHeight="1" thickBot="1">
      <c r="A46" s="1"/>
      <c r="B46" s="7"/>
      <c r="C46" s="254"/>
      <c r="D46" s="256"/>
      <c r="E46" s="256" t="s">
        <v>23</v>
      </c>
      <c r="F46" s="256"/>
      <c r="G46" s="256"/>
      <c r="H46" s="256"/>
      <c r="I46" s="255"/>
      <c r="J46" s="8"/>
      <c r="K46" s="1"/>
      <c r="N46" s="59"/>
    </row>
    <row r="47" spans="1:14" ht="30" customHeight="1">
      <c r="A47" s="1"/>
      <c r="B47" s="7"/>
      <c r="C47" s="13">
        <v>24</v>
      </c>
      <c r="D47" s="191" t="str">
        <f>+APU!A194</f>
        <v>023.045</v>
      </c>
      <c r="E47" s="171" t="str">
        <f>+APU!C194</f>
        <v>CANASTILLA DE SOPORTE DE DOVELAS EN HIERRO 3/8" Y 1/4"</v>
      </c>
      <c r="F47" s="162" t="str">
        <f>+APU!E194</f>
        <v>ML</v>
      </c>
      <c r="G47" s="164">
        <v>1</v>
      </c>
      <c r="H47" s="268">
        <f>APU!J194</f>
        <v>22948</v>
      </c>
      <c r="I47" s="14">
        <f>ROUND(H47*G47,0)</f>
        <v>22948</v>
      </c>
      <c r="J47" s="8"/>
      <c r="K47" s="1"/>
      <c r="N47" s="59"/>
    </row>
    <row r="48" spans="1:14" ht="30" customHeight="1">
      <c r="A48" s="1"/>
      <c r="B48" s="7"/>
      <c r="C48" s="13">
        <v>25</v>
      </c>
      <c r="D48" s="193" t="str">
        <f>+APU!A199</f>
        <v>023.046</v>
      </c>
      <c r="E48" s="171" t="str">
        <f>+APU!C199</f>
        <v>DOVELAS DE ACERO LISO 60000 PSI PARA PAVIMENTOS</v>
      </c>
      <c r="F48" s="162" t="str">
        <f>+APU!E199</f>
        <v>KG</v>
      </c>
      <c r="G48" s="164">
        <v>1</v>
      </c>
      <c r="H48" s="64">
        <f>APU!J199</f>
        <v>20053</v>
      </c>
      <c r="I48" s="14">
        <f>ROUND(H48*G48,0)</f>
        <v>20053</v>
      </c>
      <c r="J48" s="8"/>
      <c r="K48" s="1"/>
      <c r="N48" s="59"/>
    </row>
    <row r="49" spans="1:19" ht="30" customHeight="1">
      <c r="A49" s="1"/>
      <c r="B49" s="7"/>
      <c r="C49" s="349">
        <v>26</v>
      </c>
      <c r="D49" s="193" t="str">
        <f>+APU!A205</f>
        <v>023.045-1</v>
      </c>
      <c r="E49" s="171" t="str">
        <f>+APU!C205</f>
        <v>ACERO 60.000 PSI (INCLUYE ALAMBRE NEGRO Y FIGURACION)</v>
      </c>
      <c r="F49" s="162" t="str">
        <f>+APU!E205</f>
        <v>KG</v>
      </c>
      <c r="G49" s="164">
        <v>1</v>
      </c>
      <c r="H49" s="64">
        <f>APU!J205</f>
        <v>11609</v>
      </c>
      <c r="I49" s="14">
        <f>ROUND(H49*G49,0)</f>
        <v>11609</v>
      </c>
      <c r="J49" s="8"/>
      <c r="K49" s="1"/>
      <c r="N49" s="59"/>
    </row>
    <row r="50" spans="1:19" ht="30" customHeight="1" thickBot="1">
      <c r="A50" s="1"/>
      <c r="B50" s="7"/>
      <c r="C50" s="19" t="s">
        <v>18</v>
      </c>
      <c r="D50" s="24"/>
      <c r="E50" s="25"/>
      <c r="F50" s="24"/>
      <c r="G50" s="197"/>
      <c r="H50" s="196"/>
      <c r="I50" s="32">
        <f>SUM(I47:I49)</f>
        <v>54610</v>
      </c>
      <c r="J50" s="8"/>
      <c r="K50" s="1"/>
      <c r="N50" s="59"/>
    </row>
    <row r="51" spans="1:19" ht="30" customHeight="1" thickBot="1">
      <c r="A51" s="1"/>
      <c r="B51" s="7"/>
      <c r="C51" s="254"/>
      <c r="D51" s="256"/>
      <c r="E51" s="256" t="s">
        <v>25</v>
      </c>
      <c r="F51" s="256"/>
      <c r="G51" s="256"/>
      <c r="H51" s="256"/>
      <c r="I51" s="255"/>
      <c r="J51" s="8"/>
      <c r="K51" s="1"/>
      <c r="N51" s="59"/>
    </row>
    <row r="52" spans="1:19" ht="50.25" customHeight="1">
      <c r="A52" s="1"/>
      <c r="B52" s="7"/>
      <c r="C52" s="13">
        <v>27</v>
      </c>
      <c r="D52" s="191" t="str">
        <f>+APU!A212</f>
        <v>024.112-1</v>
      </c>
      <c r="E52" s="171" t="str">
        <f>+APU!C212</f>
        <v>SUMINISTRO, TRANSPORTE E INSTALACION SUMIDERO DOBLE REJA TIPO SIFÓN EN CONCRETO CLASE II-TAPA ANTIRUIDO (NO INCLUYE REJA)</v>
      </c>
      <c r="F52" s="162" t="str">
        <f>+APU!E212</f>
        <v>UND</v>
      </c>
      <c r="G52" s="164">
        <v>1</v>
      </c>
      <c r="H52" s="85">
        <f>APU!J212</f>
        <v>1077886</v>
      </c>
      <c r="I52" s="14">
        <f t="shared" ref="I52:I64" si="1">ROUND(H52*G52,0)</f>
        <v>1077886</v>
      </c>
      <c r="J52" s="8"/>
      <c r="K52" s="1"/>
      <c r="N52" s="59"/>
    </row>
    <row r="53" spans="1:19" ht="50.25" customHeight="1">
      <c r="A53" s="1"/>
      <c r="B53" s="7"/>
      <c r="C53" s="13">
        <v>28</v>
      </c>
      <c r="D53" s="191" t="str">
        <f>+APU!A222</f>
        <v>024.089</v>
      </c>
      <c r="E53" s="171" t="str">
        <f>+APU!C222</f>
        <v xml:space="preserve">TRANSPORTE E INSTALACION ARO TAPA HF D=0.68 M. P/CÁMARA DE INSPECCIÓN                                                         </v>
      </c>
      <c r="F53" s="162" t="str">
        <f>+APU!E222</f>
        <v>UND</v>
      </c>
      <c r="G53" s="164">
        <v>1</v>
      </c>
      <c r="H53" s="85">
        <f>APU!J222</f>
        <v>147384</v>
      </c>
      <c r="I53" s="14">
        <f t="shared" si="1"/>
        <v>147384</v>
      </c>
      <c r="J53" s="8"/>
      <c r="K53" s="1"/>
      <c r="N53" s="59"/>
    </row>
    <row r="54" spans="1:19" ht="59.25" customHeight="1">
      <c r="A54" s="1"/>
      <c r="B54" s="7"/>
      <c r="C54" s="13">
        <v>29</v>
      </c>
      <c r="D54" s="191" t="str">
        <f>+APU!A227</f>
        <v>023.040-1</v>
      </c>
      <c r="E54" s="171" t="str">
        <f>+APU!C227</f>
        <v>SUMINISTRO, TRANSPORTE E INSTALACIÓN DE ADITIVO PARA ACELERAR FRAGUADO A SIETE (7) DIAS (ACELERANTE) DE UN M3 DE CONCRETO PAVIMENTO MR 42</v>
      </c>
      <c r="F54" s="162" t="str">
        <f>+APU!E227</f>
        <v>M3</v>
      </c>
      <c r="G54" s="164">
        <v>1</v>
      </c>
      <c r="H54" s="85">
        <f>APU!J227</f>
        <v>156805</v>
      </c>
      <c r="I54" s="14">
        <f t="shared" si="1"/>
        <v>156805</v>
      </c>
      <c r="J54" s="8"/>
      <c r="K54" s="1"/>
      <c r="N54" s="59"/>
    </row>
    <row r="55" spans="1:19" ht="59.25" customHeight="1">
      <c r="A55" s="1"/>
      <c r="B55" s="7"/>
      <c r="C55" s="13">
        <v>30</v>
      </c>
      <c r="D55" s="383" t="s">
        <v>328</v>
      </c>
      <c r="E55" s="384" t="s">
        <v>329</v>
      </c>
      <c r="F55" s="382" t="s">
        <v>80</v>
      </c>
      <c r="G55" s="164">
        <v>1</v>
      </c>
      <c r="H55" s="85">
        <f>APU!J234</f>
        <v>1110593</v>
      </c>
      <c r="I55" s="14">
        <f t="shared" si="1"/>
        <v>1110593</v>
      </c>
      <c r="J55" s="8"/>
      <c r="K55" s="1"/>
      <c r="N55" s="59"/>
    </row>
    <row r="56" spans="1:19" ht="59.25" customHeight="1">
      <c r="A56" s="1"/>
      <c r="B56" s="7"/>
      <c r="C56" s="13">
        <v>31</v>
      </c>
      <c r="D56" s="383" t="s">
        <v>331</v>
      </c>
      <c r="E56" s="384" t="s">
        <v>330</v>
      </c>
      <c r="F56" s="382" t="s">
        <v>80</v>
      </c>
      <c r="G56" s="164">
        <v>1</v>
      </c>
      <c r="H56" s="85">
        <f>APU!J241</f>
        <v>1088428</v>
      </c>
      <c r="I56" s="14">
        <f t="shared" si="1"/>
        <v>1088428</v>
      </c>
      <c r="J56" s="8"/>
      <c r="K56" s="1"/>
      <c r="N56" s="59"/>
    </row>
    <row r="57" spans="1:19" ht="59.25" customHeight="1">
      <c r="A57" s="1"/>
      <c r="B57" s="7"/>
      <c r="C57" s="13">
        <v>32</v>
      </c>
      <c r="D57" s="383" t="s">
        <v>333</v>
      </c>
      <c r="E57" s="385" t="s">
        <v>332</v>
      </c>
      <c r="F57" s="382" t="s">
        <v>334</v>
      </c>
      <c r="G57" s="164">
        <v>1</v>
      </c>
      <c r="H57" s="85">
        <f>APU!J247</f>
        <v>186291</v>
      </c>
      <c r="I57" s="14">
        <f t="shared" si="1"/>
        <v>186291</v>
      </c>
      <c r="J57" s="8"/>
      <c r="K57" s="1"/>
      <c r="N57" s="59"/>
    </row>
    <row r="58" spans="1:19" ht="59.25" customHeight="1">
      <c r="A58" s="1"/>
      <c r="B58" s="7"/>
      <c r="C58" s="13">
        <v>33</v>
      </c>
      <c r="D58" s="383" t="s">
        <v>336</v>
      </c>
      <c r="E58" s="387" t="s">
        <v>335</v>
      </c>
      <c r="F58" s="382" t="s">
        <v>279</v>
      </c>
      <c r="G58" s="164">
        <v>1</v>
      </c>
      <c r="H58" s="85">
        <f>APU!J251</f>
        <v>341672</v>
      </c>
      <c r="I58" s="14">
        <f t="shared" si="1"/>
        <v>341672</v>
      </c>
      <c r="J58" s="8"/>
      <c r="K58" s="1"/>
      <c r="N58" s="59"/>
    </row>
    <row r="59" spans="1:19" ht="30" customHeight="1">
      <c r="A59" s="1"/>
      <c r="B59" s="7"/>
      <c r="C59" s="13">
        <v>35</v>
      </c>
      <c r="D59" s="193" t="str">
        <f>+APU!A259</f>
        <v>002.055</v>
      </c>
      <c r="E59" s="171" t="str">
        <f>+APU!C259</f>
        <v>RETIRO DE MATERIAL SOBRANTE EN VOLQUETA, CARGUE MECANICO</v>
      </c>
      <c r="F59" s="162" t="str">
        <f>+APU!E259</f>
        <v>M3</v>
      </c>
      <c r="G59" s="164">
        <v>1</v>
      </c>
      <c r="H59" s="85">
        <f>APU!J259</f>
        <v>50349</v>
      </c>
      <c r="I59" s="14">
        <f t="shared" si="1"/>
        <v>50349</v>
      </c>
      <c r="J59" s="8"/>
      <c r="K59" s="1"/>
      <c r="N59" s="59"/>
    </row>
    <row r="60" spans="1:19" ht="39" customHeight="1">
      <c r="A60" s="1"/>
      <c r="B60" s="7"/>
      <c r="C60" s="13">
        <v>36</v>
      </c>
      <c r="D60" s="191" t="str">
        <f>+APU!A266</f>
        <v>001.084</v>
      </c>
      <c r="E60" s="171" t="str">
        <f>+APU!C266</f>
        <v>TRANSPORTE POR DÍA LABORADO VEHÍCULO AUTOMOTOR TIPO CAMIONETA DE ESTACAS O SIMILAR</v>
      </c>
      <c r="F60" s="162" t="str">
        <f>+APU!E266</f>
        <v>DIA</v>
      </c>
      <c r="G60" s="164">
        <v>1</v>
      </c>
      <c r="H60" s="85">
        <f>APU!J266</f>
        <v>297439</v>
      </c>
      <c r="I60" s="14">
        <f t="shared" si="1"/>
        <v>297439</v>
      </c>
      <c r="J60" s="8"/>
      <c r="K60" s="1"/>
      <c r="N60" s="59"/>
    </row>
    <row r="61" spans="1:19" ht="30" customHeight="1">
      <c r="A61" s="1"/>
      <c r="B61" s="7"/>
      <c r="C61" s="13">
        <v>37</v>
      </c>
      <c r="D61" s="191" t="str">
        <f>+APU!A269</f>
        <v>030.002</v>
      </c>
      <c r="E61" s="171" t="str">
        <f>+APU!C269</f>
        <v>JORNAL AYUDANTE</v>
      </c>
      <c r="F61" s="162" t="str">
        <f>+APU!E269</f>
        <v>DIA</v>
      </c>
      <c r="G61" s="164">
        <v>1</v>
      </c>
      <c r="H61" s="85">
        <f>APU!J269</f>
        <v>104894</v>
      </c>
      <c r="I61" s="14">
        <f t="shared" si="1"/>
        <v>104894</v>
      </c>
      <c r="J61" s="8"/>
      <c r="K61" s="1"/>
    </row>
    <row r="62" spans="1:19" ht="30" customHeight="1">
      <c r="A62" s="1"/>
      <c r="B62" s="7"/>
      <c r="C62" s="13">
        <v>38</v>
      </c>
      <c r="D62" s="191" t="str">
        <f>+APU!A272</f>
        <v>ADI-33.169</v>
      </c>
      <c r="E62" s="171" t="str">
        <f>+APU!C272</f>
        <v>REGULADOR DE TRANSITO</v>
      </c>
      <c r="F62" s="162" t="str">
        <f>+APU!E272</f>
        <v>DIA</v>
      </c>
      <c r="G62" s="164">
        <v>1</v>
      </c>
      <c r="H62" s="85">
        <f>APU!J272</f>
        <v>142362</v>
      </c>
      <c r="I62" s="14">
        <f t="shared" si="1"/>
        <v>142362</v>
      </c>
      <c r="J62" s="8"/>
      <c r="K62" s="1"/>
      <c r="N62" s="59"/>
      <c r="O62" s="1"/>
      <c r="P62" s="1"/>
      <c r="Q62" s="1"/>
      <c r="R62" s="1"/>
      <c r="S62" s="1"/>
    </row>
    <row r="63" spans="1:19" ht="58.5" customHeight="1">
      <c r="A63" s="1"/>
      <c r="B63" s="7"/>
      <c r="C63" s="13">
        <v>39</v>
      </c>
      <c r="D63" s="191" t="str">
        <f>+APU!A275</f>
        <v>023.048</v>
      </c>
      <c r="E63" s="171" t="str">
        <f>+APU!C275</f>
        <v>SUMINISTRO, TRANSPORTE E INSTALACION  DEMARCACION PASOS PEATONALES, LINEAS DE PARE, SIMBOLOS, TEXTOS Y OTRAS, CON PINTURA PLASTICO EN FRIO.</v>
      </c>
      <c r="F63" s="162" t="str">
        <f>+APU!E275</f>
        <v>M2</v>
      </c>
      <c r="G63" s="164">
        <v>1</v>
      </c>
      <c r="H63" s="85">
        <f>APU!J275</f>
        <v>148054</v>
      </c>
      <c r="I63" s="14">
        <f t="shared" si="1"/>
        <v>148054</v>
      </c>
      <c r="J63" s="8"/>
      <c r="K63" s="1"/>
      <c r="N63" s="59"/>
      <c r="O63" s="1"/>
      <c r="P63" s="1"/>
      <c r="Q63" s="1"/>
      <c r="R63" s="1"/>
      <c r="S63" s="1"/>
    </row>
    <row r="64" spans="1:19" ht="42.75" customHeight="1">
      <c r="A64" s="1"/>
      <c r="B64" s="7"/>
      <c r="C64" s="13">
        <v>40</v>
      </c>
      <c r="D64" s="191" t="str">
        <f>+APU!A278</f>
        <v>023.049</v>
      </c>
      <c r="E64" s="171" t="str">
        <f>+APU!C278</f>
        <v>SUMINISTRO, TRANSPORTE E INSTALACION  DEMARCACION LINEAS CENTRALES, DE BORDE, DE CARRIL Y OTRAS (Ancho 12cms), CON PINTURA PLASTICO EN FRIO.</v>
      </c>
      <c r="F64" s="162" t="str">
        <f>+APU!E278</f>
        <v>ML</v>
      </c>
      <c r="G64" s="164">
        <v>1</v>
      </c>
      <c r="H64" s="85">
        <f>APU!J278</f>
        <v>17270</v>
      </c>
      <c r="I64" s="14">
        <f t="shared" si="1"/>
        <v>17270</v>
      </c>
      <c r="J64" s="8"/>
      <c r="K64" s="1"/>
      <c r="N64" s="59"/>
      <c r="O64" s="1"/>
      <c r="P64" s="1"/>
      <c r="Q64" s="1"/>
      <c r="R64" s="1"/>
      <c r="S64" s="1"/>
    </row>
    <row r="65" spans="1:19" ht="30" customHeight="1" thickBot="1">
      <c r="A65" s="1"/>
      <c r="B65" s="7"/>
      <c r="C65" s="19" t="s">
        <v>18</v>
      </c>
      <c r="D65" s="28"/>
      <c r="E65" s="33"/>
      <c r="F65" s="30"/>
      <c r="G65" s="34"/>
      <c r="H65" s="31"/>
      <c r="I65" s="22">
        <f>SUM(I52:I64)</f>
        <v>4869427</v>
      </c>
      <c r="J65" s="8"/>
      <c r="K65" s="1"/>
      <c r="N65" s="59"/>
      <c r="O65" s="92"/>
      <c r="P65" s="1"/>
      <c r="Q65" s="1"/>
      <c r="R65" s="1"/>
      <c r="S65" s="1"/>
    </row>
    <row r="66" spans="1:19" s="38" customFormat="1" ht="30" customHeight="1" thickBot="1">
      <c r="A66" s="35"/>
      <c r="B66" s="36"/>
      <c r="C66" s="437" t="s">
        <v>26</v>
      </c>
      <c r="D66" s="438"/>
      <c r="E66" s="438"/>
      <c r="F66" s="438"/>
      <c r="G66" s="438"/>
      <c r="H66" s="439"/>
      <c r="I66" s="258">
        <f>I24+I28+I35+I40+I45+I50+I65</f>
        <v>12557418</v>
      </c>
      <c r="J66" s="37"/>
      <c r="K66" s="35"/>
      <c r="M66" s="94"/>
      <c r="N66" s="59"/>
      <c r="O66" s="93"/>
      <c r="P66" s="35"/>
      <c r="Q66" s="92"/>
      <c r="R66" s="35"/>
      <c r="S66" s="35"/>
    </row>
    <row r="67" spans="1:19" s="38" customFormat="1" ht="17.25" thickBot="1">
      <c r="A67" s="35"/>
      <c r="B67" s="36"/>
      <c r="C67" s="39"/>
      <c r="D67" s="39"/>
      <c r="E67" s="39"/>
      <c r="F67" s="39"/>
      <c r="G67" s="39"/>
      <c r="H67" s="39"/>
      <c r="I67" s="40"/>
      <c r="J67" s="37"/>
      <c r="K67" s="35"/>
      <c r="N67" s="59">
        <v>410000000</v>
      </c>
      <c r="O67" s="35"/>
      <c r="P67" s="35"/>
      <c r="Q67" s="35"/>
      <c r="R67" s="35"/>
      <c r="S67" s="35"/>
    </row>
    <row r="68" spans="1:19" s="38" customFormat="1" ht="20.25" customHeight="1">
      <c r="A68" s="35"/>
      <c r="B68" s="36"/>
      <c r="C68" s="41"/>
      <c r="D68" s="42"/>
      <c r="E68" s="404"/>
      <c r="F68" s="405"/>
      <c r="G68" s="406"/>
      <c r="H68" s="259"/>
      <c r="I68" s="260"/>
      <c r="J68" s="37"/>
      <c r="K68" s="35"/>
      <c r="M68" s="90"/>
      <c r="N68" s="98"/>
    </row>
    <row r="69" spans="1:19" s="38" customFormat="1" ht="27" customHeight="1" thickBot="1">
      <c r="A69" s="35"/>
      <c r="B69" s="36"/>
      <c r="C69" s="41"/>
      <c r="D69" s="43"/>
      <c r="E69" s="181" t="s">
        <v>27</v>
      </c>
      <c r="F69" s="182"/>
      <c r="G69" s="183"/>
      <c r="H69" s="184"/>
      <c r="I69" s="185">
        <f>I66</f>
        <v>12557418</v>
      </c>
      <c r="J69" s="37"/>
      <c r="K69" s="35"/>
      <c r="M69" s="90"/>
      <c r="N69" s="35"/>
      <c r="O69" s="35"/>
      <c r="P69" s="35"/>
    </row>
    <row r="70" spans="1:19" s="38" customFormat="1" ht="22.5" customHeight="1" thickBot="1">
      <c r="A70" s="35"/>
      <c r="B70" s="36"/>
      <c r="C70" s="41"/>
      <c r="D70" s="42"/>
      <c r="E70" s="44" t="s">
        <v>28</v>
      </c>
      <c r="F70" s="45"/>
      <c r="G70" s="46"/>
      <c r="H70" s="47"/>
      <c r="I70" s="258">
        <v>410000000</v>
      </c>
      <c r="J70" s="37"/>
      <c r="K70" s="35"/>
      <c r="L70" s="396">
        <f>+AIU!J48</f>
        <v>0.42549999999999999</v>
      </c>
      <c r="M70" s="59">
        <f>+I70/(1+42.55%)</f>
        <v>287618379.51595932</v>
      </c>
      <c r="N70" s="100">
        <f>+I69/(1+I76)</f>
        <v>8809132.2343037538</v>
      </c>
      <c r="O70" s="92"/>
      <c r="P70" s="35"/>
    </row>
    <row r="71" spans="1:19" s="38" customFormat="1">
      <c r="A71" s="35"/>
      <c r="B71" s="36"/>
      <c r="C71" s="41"/>
      <c r="D71" s="42"/>
      <c r="E71" s="41"/>
      <c r="F71" s="41"/>
      <c r="G71" s="48"/>
      <c r="H71" s="49"/>
      <c r="I71" s="50"/>
      <c r="J71" s="37"/>
      <c r="K71" s="35"/>
      <c r="M71" s="90"/>
      <c r="N71" s="35"/>
      <c r="O71" s="99"/>
      <c r="P71" s="35"/>
    </row>
    <row r="72" spans="1:19" s="38" customFormat="1" ht="46.5" customHeight="1">
      <c r="A72" s="35"/>
      <c r="B72" s="36"/>
      <c r="C72" s="418" t="s">
        <v>29</v>
      </c>
      <c r="D72" s="419"/>
      <c r="E72" s="419"/>
      <c r="F72" s="424" t="s">
        <v>10</v>
      </c>
      <c r="G72" s="424"/>
      <c r="H72" s="424"/>
      <c r="I72" s="186" t="s">
        <v>30</v>
      </c>
      <c r="J72" s="51"/>
      <c r="K72" s="35"/>
      <c r="M72" s="91"/>
      <c r="N72" s="98"/>
      <c r="O72" s="95"/>
    </row>
    <row r="73" spans="1:19" s="38" customFormat="1" ht="45.75" customHeight="1">
      <c r="A73" s="35"/>
      <c r="B73" s="36"/>
      <c r="C73" s="418" t="s">
        <v>31</v>
      </c>
      <c r="D73" s="419"/>
      <c r="E73" s="419"/>
      <c r="F73" s="411" t="s">
        <v>32</v>
      </c>
      <c r="G73" s="411"/>
      <c r="H73" s="186" t="s">
        <v>33</v>
      </c>
      <c r="I73" s="198">
        <f>+AIU!J46</f>
        <v>0.36549999999999999</v>
      </c>
      <c r="J73" s="51"/>
      <c r="K73" s="35"/>
      <c r="N73" s="99">
        <v>318245760.96181047</v>
      </c>
      <c r="O73" s="96"/>
    </row>
    <row r="74" spans="1:19" s="38" customFormat="1" ht="30" customHeight="1">
      <c r="A74" s="35"/>
      <c r="B74" s="36"/>
      <c r="C74" s="418" t="s">
        <v>35</v>
      </c>
      <c r="D74" s="419"/>
      <c r="E74" s="419"/>
      <c r="F74" s="420" t="s">
        <v>36</v>
      </c>
      <c r="G74" s="421"/>
      <c r="H74" s="186" t="s">
        <v>37</v>
      </c>
      <c r="I74" s="198">
        <v>0</v>
      </c>
      <c r="J74" s="51"/>
      <c r="K74" s="35"/>
      <c r="O74" s="95"/>
    </row>
    <row r="75" spans="1:19" s="52" customFormat="1" ht="46.5" customHeight="1">
      <c r="A75" s="35"/>
      <c r="B75" s="36"/>
      <c r="C75" s="469" t="s">
        <v>362</v>
      </c>
      <c r="D75" s="470"/>
      <c r="E75" s="470"/>
      <c r="F75" s="424" t="s">
        <v>39</v>
      </c>
      <c r="G75" s="411"/>
      <c r="H75" s="186" t="s">
        <v>40</v>
      </c>
      <c r="I75" s="198">
        <v>0.06</v>
      </c>
      <c r="J75" s="37"/>
      <c r="K75" s="35"/>
    </row>
    <row r="76" spans="1:19" ht="51" customHeight="1">
      <c r="A76" s="1"/>
      <c r="B76" s="7"/>
      <c r="C76" s="418" t="s">
        <v>49</v>
      </c>
      <c r="D76" s="419"/>
      <c r="E76" s="419"/>
      <c r="F76" s="411" t="s">
        <v>42</v>
      </c>
      <c r="G76" s="411"/>
      <c r="H76" s="186" t="s">
        <v>43</v>
      </c>
      <c r="I76" s="198">
        <f>SUM(I73:I75)</f>
        <v>0.42549999999999999</v>
      </c>
      <c r="J76" s="8"/>
      <c r="K76" s="1"/>
      <c r="O76" s="97"/>
    </row>
    <row r="77" spans="1:19" ht="17.25" thickBot="1">
      <c r="A77" s="1"/>
      <c r="B77" s="53"/>
      <c r="C77" s="54"/>
      <c r="D77" s="54"/>
      <c r="E77" s="56"/>
      <c r="F77" s="54"/>
      <c r="G77" s="54"/>
      <c r="H77" s="54"/>
      <c r="I77" s="54"/>
      <c r="J77" s="57"/>
      <c r="K77" s="1"/>
    </row>
    <row r="78" spans="1:19" ht="17.25" thickTop="1">
      <c r="A78" s="1"/>
      <c r="B78" s="1"/>
      <c r="C78" s="1"/>
      <c r="D78" s="1"/>
      <c r="E78" s="1"/>
      <c r="F78" s="1"/>
      <c r="G78" s="1"/>
      <c r="H78" s="1"/>
      <c r="I78" s="1"/>
      <c r="J78" s="1"/>
      <c r="K78" s="1"/>
    </row>
  </sheetData>
  <mergeCells count="25">
    <mergeCell ref="C74:E74"/>
    <mergeCell ref="F74:G74"/>
    <mergeCell ref="C75:E75"/>
    <mergeCell ref="F75:G75"/>
    <mergeCell ref="C76:E76"/>
    <mergeCell ref="F76:G76"/>
    <mergeCell ref="I11:I12"/>
    <mergeCell ref="C66:H66"/>
    <mergeCell ref="E68:G68"/>
    <mergeCell ref="C72:E72"/>
    <mergeCell ref="F72:H72"/>
    <mergeCell ref="H11:H12"/>
    <mergeCell ref="C73:E73"/>
    <mergeCell ref="F73:G73"/>
    <mergeCell ref="C11:C12"/>
    <mergeCell ref="D11:D12"/>
    <mergeCell ref="E11:E12"/>
    <mergeCell ref="F11:F12"/>
    <mergeCell ref="G11:G12"/>
    <mergeCell ref="C10:I10"/>
    <mergeCell ref="C3:D3"/>
    <mergeCell ref="C5:I5"/>
    <mergeCell ref="C6:I6"/>
    <mergeCell ref="C7:I8"/>
    <mergeCell ref="C9:I9"/>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D279"/>
  <sheetViews>
    <sheetView view="pageBreakPreview" topLeftCell="A109" zoomScale="80" zoomScaleNormal="80" zoomScaleSheetLayoutView="80" workbookViewId="0">
      <selection activeCell="G142" sqref="G142"/>
    </sheetView>
  </sheetViews>
  <sheetFormatPr baseColWidth="10" defaultColWidth="11.42578125" defaultRowHeight="12.75"/>
  <cols>
    <col min="1" max="1" width="11.5703125" style="101" customWidth="1"/>
    <col min="2" max="2" width="11.42578125" style="101"/>
    <col min="3" max="3" width="84.5703125" style="101" customWidth="1"/>
    <col min="4" max="6" width="11.42578125" style="101"/>
    <col min="7" max="7" width="12.85546875" style="153" customWidth="1"/>
    <col min="8" max="8" width="12.42578125" style="153" customWidth="1"/>
    <col min="9" max="9" width="11.42578125" style="101"/>
    <col min="10" max="10" width="19.140625" style="101" customWidth="1"/>
    <col min="11" max="16384" width="11.42578125" style="101"/>
  </cols>
  <sheetData>
    <row r="1" spans="1:10" ht="30.75" customHeight="1">
      <c r="A1" s="471" t="e">
        <f>+#REF!</f>
        <v>#REF!</v>
      </c>
      <c r="B1" s="472"/>
      <c r="C1" s="472"/>
      <c r="D1" s="472"/>
      <c r="E1" s="472"/>
      <c r="F1" s="472"/>
      <c r="G1" s="472"/>
      <c r="H1" s="473"/>
      <c r="I1" s="58"/>
    </row>
    <row r="2" spans="1:10">
      <c r="A2" s="102"/>
      <c r="B2" s="102"/>
      <c r="C2" s="102"/>
      <c r="D2" s="102"/>
      <c r="E2" s="102"/>
      <c r="F2" s="102"/>
      <c r="G2" s="151"/>
      <c r="H2" s="151"/>
    </row>
    <row r="3" spans="1:10">
      <c r="A3" s="474" t="s">
        <v>17</v>
      </c>
      <c r="B3" s="475"/>
      <c r="C3" s="475"/>
      <c r="D3" s="475"/>
      <c r="E3" s="475"/>
      <c r="F3" s="475"/>
      <c r="G3" s="475"/>
      <c r="H3" s="476"/>
    </row>
    <row r="4" spans="1:10">
      <c r="A4" s="269"/>
      <c r="B4" s="270"/>
      <c r="C4" s="270"/>
      <c r="D4" s="270"/>
      <c r="E4" s="270"/>
      <c r="F4" s="270"/>
      <c r="G4" s="271"/>
      <c r="H4" s="271"/>
    </row>
    <row r="5" spans="1:10" ht="47.25" customHeight="1">
      <c r="A5" s="199" t="s">
        <v>50</v>
      </c>
      <c r="B5" s="199" t="s">
        <v>51</v>
      </c>
      <c r="C5" s="200" t="s">
        <v>52</v>
      </c>
      <c r="D5" s="200" t="s">
        <v>53</v>
      </c>
      <c r="E5" s="200" t="s">
        <v>54</v>
      </c>
      <c r="F5" s="201" t="s">
        <v>55</v>
      </c>
      <c r="G5" s="202" t="s">
        <v>13</v>
      </c>
      <c r="H5" s="202" t="s">
        <v>28</v>
      </c>
      <c r="I5" s="103" t="s">
        <v>56</v>
      </c>
      <c r="J5" s="150" t="s">
        <v>57</v>
      </c>
    </row>
    <row r="6" spans="1:10" s="106" customFormat="1">
      <c r="A6" s="203" t="s">
        <v>58</v>
      </c>
      <c r="B6" s="203" t="s">
        <v>59</v>
      </c>
      <c r="C6" s="203" t="s">
        <v>60</v>
      </c>
      <c r="D6" s="203" t="s">
        <v>61</v>
      </c>
      <c r="E6" s="203" t="s">
        <v>62</v>
      </c>
      <c r="F6" s="203"/>
      <c r="G6" s="204"/>
      <c r="H6" s="204">
        <f>SUM(H7:H10)</f>
        <v>2770</v>
      </c>
      <c r="I6" s="147">
        <f>+AIU!$G$25</f>
        <v>1.4255</v>
      </c>
      <c r="J6" s="104">
        <f>ROUND(H6*I6,0)</f>
        <v>3949</v>
      </c>
    </row>
    <row r="7" spans="1:10" s="106" customFormat="1">
      <c r="A7" s="205" t="s">
        <v>58</v>
      </c>
      <c r="B7" s="205" t="s">
        <v>63</v>
      </c>
      <c r="C7" s="205" t="s">
        <v>64</v>
      </c>
      <c r="D7" s="205" t="s">
        <v>65</v>
      </c>
      <c r="E7" s="205" t="s">
        <v>66</v>
      </c>
      <c r="F7" s="205">
        <v>0.09</v>
      </c>
      <c r="G7" s="206">
        <v>23915</v>
      </c>
      <c r="H7" s="206">
        <f>+ROUND(F7*G7,0)</f>
        <v>2152</v>
      </c>
    </row>
    <row r="8" spans="1:10" s="106" customFormat="1">
      <c r="A8" s="205" t="s">
        <v>58</v>
      </c>
      <c r="B8" s="205" t="s">
        <v>67</v>
      </c>
      <c r="C8" s="207" t="s">
        <v>68</v>
      </c>
      <c r="D8" s="205" t="s">
        <v>69</v>
      </c>
      <c r="E8" s="205" t="s">
        <v>70</v>
      </c>
      <c r="F8" s="205">
        <v>1E-3</v>
      </c>
      <c r="G8" s="206">
        <v>154179</v>
      </c>
      <c r="H8" s="206">
        <f>+ROUND(F8*G8,0)</f>
        <v>154</v>
      </c>
    </row>
    <row r="9" spans="1:10" s="106" customFormat="1">
      <c r="A9" s="205" t="s">
        <v>58</v>
      </c>
      <c r="B9" s="205" t="s">
        <v>71</v>
      </c>
      <c r="C9" s="205" t="s">
        <v>72</v>
      </c>
      <c r="D9" s="205" t="s">
        <v>73</v>
      </c>
      <c r="E9" s="205" t="s">
        <v>74</v>
      </c>
      <c r="F9" s="205">
        <v>0.09</v>
      </c>
      <c r="G9" s="206">
        <v>3311</v>
      </c>
      <c r="H9" s="206">
        <f>+ROUND(F9*G9,0)</f>
        <v>298</v>
      </c>
    </row>
    <row r="10" spans="1:10" s="106" customFormat="1">
      <c r="A10" s="205" t="s">
        <v>58</v>
      </c>
      <c r="B10" s="205" t="s">
        <v>75</v>
      </c>
      <c r="C10" s="205" t="s">
        <v>76</v>
      </c>
      <c r="D10" s="205" t="s">
        <v>77</v>
      </c>
      <c r="E10" s="205" t="s">
        <v>74</v>
      </c>
      <c r="F10" s="205">
        <v>9.6000000000000002E-2</v>
      </c>
      <c r="G10" s="206">
        <v>1733</v>
      </c>
      <c r="H10" s="206">
        <f>+ROUND(F10*G10,0)</f>
        <v>166</v>
      </c>
    </row>
    <row r="12" spans="1:10" s="106" customFormat="1" ht="33" customHeight="1">
      <c r="A12" s="203" t="s">
        <v>78</v>
      </c>
      <c r="B12" s="203" t="s">
        <v>59</v>
      </c>
      <c r="C12" s="208" t="s">
        <v>79</v>
      </c>
      <c r="D12" s="203" t="s">
        <v>61</v>
      </c>
      <c r="E12" s="203" t="s">
        <v>80</v>
      </c>
      <c r="F12" s="203"/>
      <c r="G12" s="204"/>
      <c r="H12" s="204">
        <f>SUM(H13:H18)</f>
        <v>136033</v>
      </c>
      <c r="I12" s="147">
        <f>+AIU!$G$25</f>
        <v>1.4255</v>
      </c>
      <c r="J12" s="104">
        <f>ROUND(H12*I12,0)</f>
        <v>193915</v>
      </c>
    </row>
    <row r="13" spans="1:10" s="106" customFormat="1">
      <c r="A13" s="205" t="s">
        <v>78</v>
      </c>
      <c r="B13" s="205" t="s">
        <v>81</v>
      </c>
      <c r="C13" s="205" t="s">
        <v>82</v>
      </c>
      <c r="D13" s="205" t="s">
        <v>65</v>
      </c>
      <c r="E13" s="205" t="s">
        <v>66</v>
      </c>
      <c r="F13" s="205">
        <v>0.4</v>
      </c>
      <c r="G13" s="206">
        <v>51509</v>
      </c>
      <c r="H13" s="206">
        <f t="shared" ref="H13:H18" si="0">+ROUND(F13*G13,0)</f>
        <v>20604</v>
      </c>
    </row>
    <row r="14" spans="1:10" s="106" customFormat="1">
      <c r="A14" s="205" t="s">
        <v>78</v>
      </c>
      <c r="B14" s="205" t="s">
        <v>67</v>
      </c>
      <c r="C14" s="205" t="s">
        <v>83</v>
      </c>
      <c r="D14" s="205" t="s">
        <v>69</v>
      </c>
      <c r="E14" s="205" t="s">
        <v>70</v>
      </c>
      <c r="F14" s="205">
        <v>0.25</v>
      </c>
      <c r="G14" s="206">
        <v>154179</v>
      </c>
      <c r="H14" s="206">
        <f t="shared" si="0"/>
        <v>38545</v>
      </c>
    </row>
    <row r="15" spans="1:10" s="106" customFormat="1">
      <c r="A15" s="205" t="s">
        <v>78</v>
      </c>
      <c r="B15" s="205" t="s">
        <v>84</v>
      </c>
      <c r="C15" s="205" t="s">
        <v>85</v>
      </c>
      <c r="D15" s="205" t="s">
        <v>69</v>
      </c>
      <c r="E15" s="205" t="s">
        <v>66</v>
      </c>
      <c r="F15" s="205">
        <v>0.7</v>
      </c>
      <c r="G15" s="206">
        <v>99367</v>
      </c>
      <c r="H15" s="206">
        <f t="shared" si="0"/>
        <v>69557</v>
      </c>
    </row>
    <row r="16" spans="1:10" s="106" customFormat="1">
      <c r="A16" s="205" t="s">
        <v>78</v>
      </c>
      <c r="B16" s="205" t="s">
        <v>71</v>
      </c>
      <c r="C16" s="205" t="s">
        <v>72</v>
      </c>
      <c r="D16" s="205" t="s">
        <v>73</v>
      </c>
      <c r="E16" s="205" t="s">
        <v>74</v>
      </c>
      <c r="F16" s="205">
        <v>0.4</v>
      </c>
      <c r="G16" s="206">
        <v>3311</v>
      </c>
      <c r="H16" s="206">
        <f t="shared" si="0"/>
        <v>1324</v>
      </c>
    </row>
    <row r="17" spans="1:10" s="106" customFormat="1">
      <c r="A17" s="205" t="s">
        <v>78</v>
      </c>
      <c r="B17" s="205" t="s">
        <v>75</v>
      </c>
      <c r="C17" s="205" t="s">
        <v>76</v>
      </c>
      <c r="D17" s="205" t="s">
        <v>77</v>
      </c>
      <c r="E17" s="205" t="s">
        <v>74</v>
      </c>
      <c r="F17" s="205">
        <v>0.85299999999999998</v>
      </c>
      <c r="G17" s="209">
        <v>1733</v>
      </c>
      <c r="H17" s="209">
        <f t="shared" si="0"/>
        <v>1478</v>
      </c>
    </row>
    <row r="18" spans="1:10" s="106" customFormat="1">
      <c r="A18" s="205" t="s">
        <v>78</v>
      </c>
      <c r="B18" s="205"/>
      <c r="C18" s="205" t="s">
        <v>86</v>
      </c>
      <c r="D18" s="205"/>
      <c r="E18" s="205" t="s">
        <v>80</v>
      </c>
      <c r="F18" s="205">
        <v>1</v>
      </c>
      <c r="G18" s="209">
        <v>4525</v>
      </c>
      <c r="H18" s="209">
        <f t="shared" si="0"/>
        <v>4525</v>
      </c>
    </row>
    <row r="19" spans="1:10">
      <c r="A19" s="205"/>
    </row>
    <row r="20" spans="1:10" s="106" customFormat="1">
      <c r="A20" s="203" t="s">
        <v>87</v>
      </c>
      <c r="B20" s="203" t="s">
        <v>59</v>
      </c>
      <c r="C20" s="203" t="s">
        <v>88</v>
      </c>
      <c r="D20" s="203" t="s">
        <v>61</v>
      </c>
      <c r="E20" s="203" t="s">
        <v>80</v>
      </c>
      <c r="F20" s="203"/>
      <c r="G20" s="204"/>
      <c r="H20" s="204">
        <f>SUM(H21:H25)</f>
        <v>218604</v>
      </c>
      <c r="I20" s="147">
        <f>+AIU!$G$25</f>
        <v>1.4255</v>
      </c>
      <c r="J20" s="104">
        <f>ROUND(H20*I20,0)</f>
        <v>311620</v>
      </c>
    </row>
    <row r="21" spans="1:10" s="106" customFormat="1">
      <c r="A21" s="205" t="s">
        <v>87</v>
      </c>
      <c r="B21" s="205" t="s">
        <v>81</v>
      </c>
      <c r="C21" s="205" t="s">
        <v>82</v>
      </c>
      <c r="D21" s="205" t="s">
        <v>65</v>
      </c>
      <c r="E21" s="205" t="s">
        <v>66</v>
      </c>
      <c r="F21" s="205">
        <v>3</v>
      </c>
      <c r="G21" s="206">
        <v>51509</v>
      </c>
      <c r="H21" s="206">
        <f>+ROUND(F21*G21,0)</f>
        <v>154527</v>
      </c>
    </row>
    <row r="22" spans="1:10" s="106" customFormat="1">
      <c r="A22" s="205" t="s">
        <v>87</v>
      </c>
      <c r="B22" s="205" t="s">
        <v>67</v>
      </c>
      <c r="C22" s="205" t="s">
        <v>89</v>
      </c>
      <c r="D22" s="205" t="s">
        <v>69</v>
      </c>
      <c r="E22" s="205" t="s">
        <v>70</v>
      </c>
      <c r="F22" s="205">
        <v>0.25</v>
      </c>
      <c r="G22" s="206">
        <v>154179</v>
      </c>
      <c r="H22" s="206">
        <f>+ROUND(F22*G22,0)</f>
        <v>38545</v>
      </c>
    </row>
    <row r="23" spans="1:10" s="106" customFormat="1">
      <c r="A23" s="205" t="s">
        <v>87</v>
      </c>
      <c r="B23" s="205" t="s">
        <v>71</v>
      </c>
      <c r="C23" s="205" t="s">
        <v>72</v>
      </c>
      <c r="D23" s="205" t="s">
        <v>73</v>
      </c>
      <c r="E23" s="205" t="s">
        <v>74</v>
      </c>
      <c r="F23" s="205">
        <v>3</v>
      </c>
      <c r="G23" s="206">
        <v>3311</v>
      </c>
      <c r="H23" s="206">
        <f>+ROUND(F23*G23,0)</f>
        <v>9933</v>
      </c>
    </row>
    <row r="24" spans="1:10" s="106" customFormat="1">
      <c r="A24" s="205" t="s">
        <v>87</v>
      </c>
      <c r="B24" s="205" t="s">
        <v>75</v>
      </c>
      <c r="C24" s="205" t="s">
        <v>76</v>
      </c>
      <c r="D24" s="205" t="s">
        <v>77</v>
      </c>
      <c r="E24" s="205" t="s">
        <v>74</v>
      </c>
      <c r="F24" s="205">
        <v>6.39</v>
      </c>
      <c r="G24" s="206">
        <v>1733</v>
      </c>
      <c r="H24" s="206">
        <f>+ROUND(F24*G24,0)</f>
        <v>11074</v>
      </c>
    </row>
    <row r="25" spans="1:10" s="106" customFormat="1">
      <c r="A25" s="205" t="s">
        <v>87</v>
      </c>
      <c r="B25" s="205"/>
      <c r="C25" s="205" t="s">
        <v>86</v>
      </c>
      <c r="D25" s="205"/>
      <c r="E25" s="205" t="s">
        <v>80</v>
      </c>
      <c r="F25" s="205">
        <v>1</v>
      </c>
      <c r="G25" s="209">
        <v>4525</v>
      </c>
      <c r="H25" s="209">
        <f>+ROUND(F25*G25,0)</f>
        <v>4525</v>
      </c>
    </row>
    <row r="26" spans="1:10">
      <c r="A26" s="105"/>
      <c r="B26" s="105"/>
      <c r="C26" s="106"/>
      <c r="D26" s="106"/>
      <c r="E26" s="106"/>
      <c r="F26" s="106"/>
      <c r="G26" s="152"/>
      <c r="H26" s="152"/>
    </row>
    <row r="27" spans="1:10" s="106" customFormat="1">
      <c r="A27" s="245">
        <v>29013</v>
      </c>
      <c r="B27" s="203" t="s">
        <v>59</v>
      </c>
      <c r="C27" s="203" t="s">
        <v>90</v>
      </c>
      <c r="D27" s="203" t="s">
        <v>61</v>
      </c>
      <c r="E27" s="203" t="s">
        <v>80</v>
      </c>
      <c r="F27" s="203"/>
      <c r="G27" s="204"/>
      <c r="H27" s="204">
        <f>SUM(H28:H33)</f>
        <v>109829</v>
      </c>
      <c r="I27" s="147">
        <f>+AIU!$G$25</f>
        <v>1.4255</v>
      </c>
      <c r="J27" s="104">
        <f>ROUND(H27*I27,0)</f>
        <v>156561</v>
      </c>
    </row>
    <row r="28" spans="1:10" s="106" customFormat="1">
      <c r="A28" s="205" t="s">
        <v>91</v>
      </c>
      <c r="B28" s="205" t="s">
        <v>92</v>
      </c>
      <c r="C28" s="205" t="s">
        <v>93</v>
      </c>
      <c r="D28" s="205" t="s">
        <v>65</v>
      </c>
      <c r="E28" s="205" t="s">
        <v>66</v>
      </c>
      <c r="F28" s="205">
        <v>0.35</v>
      </c>
      <c r="G28" s="206">
        <v>42311</v>
      </c>
      <c r="H28" s="206">
        <f t="shared" ref="H28:H33" si="1">+ROUND(F28*G28,0)</f>
        <v>14809</v>
      </c>
    </row>
    <row r="29" spans="1:10" s="106" customFormat="1">
      <c r="A29" s="205" t="s">
        <v>91</v>
      </c>
      <c r="B29" s="205" t="s">
        <v>67</v>
      </c>
      <c r="C29" s="205" t="s">
        <v>89</v>
      </c>
      <c r="D29" s="205" t="s">
        <v>69</v>
      </c>
      <c r="E29" s="205" t="s">
        <v>70</v>
      </c>
      <c r="F29" s="205">
        <v>0.25</v>
      </c>
      <c r="G29" s="206">
        <v>154179</v>
      </c>
      <c r="H29" s="206">
        <f t="shared" si="1"/>
        <v>38545</v>
      </c>
    </row>
    <row r="30" spans="1:10" s="106" customFormat="1">
      <c r="A30" s="205" t="s">
        <v>91</v>
      </c>
      <c r="B30" s="205" t="s">
        <v>84</v>
      </c>
      <c r="C30" s="205" t="s">
        <v>85</v>
      </c>
      <c r="D30" s="205" t="s">
        <v>69</v>
      </c>
      <c r="E30" s="205" t="s">
        <v>66</v>
      </c>
      <c r="F30" s="205">
        <v>0.5</v>
      </c>
      <c r="G30" s="206">
        <v>99367</v>
      </c>
      <c r="H30" s="206">
        <f t="shared" si="1"/>
        <v>49684</v>
      </c>
    </row>
    <row r="31" spans="1:10" s="106" customFormat="1">
      <c r="A31" s="205" t="s">
        <v>91</v>
      </c>
      <c r="B31" s="205" t="s">
        <v>71</v>
      </c>
      <c r="C31" s="205" t="s">
        <v>72</v>
      </c>
      <c r="D31" s="205" t="s">
        <v>73</v>
      </c>
      <c r="E31" s="205" t="s">
        <v>74</v>
      </c>
      <c r="F31" s="205">
        <v>0.35</v>
      </c>
      <c r="G31" s="206">
        <v>3311</v>
      </c>
      <c r="H31" s="206">
        <f t="shared" si="1"/>
        <v>1159</v>
      </c>
    </row>
    <row r="32" spans="1:10" s="106" customFormat="1">
      <c r="A32" s="205" t="s">
        <v>91</v>
      </c>
      <c r="B32" s="205" t="s">
        <v>75</v>
      </c>
      <c r="C32" s="205" t="s">
        <v>76</v>
      </c>
      <c r="D32" s="205" t="s">
        <v>77</v>
      </c>
      <c r="E32" s="205" t="s">
        <v>74</v>
      </c>
      <c r="F32" s="205">
        <v>0.63900000000000001</v>
      </c>
      <c r="G32" s="206">
        <v>1733</v>
      </c>
      <c r="H32" s="206">
        <f t="shared" si="1"/>
        <v>1107</v>
      </c>
    </row>
    <row r="33" spans="1:10" s="106" customFormat="1">
      <c r="A33" s="205" t="s">
        <v>91</v>
      </c>
      <c r="B33" s="205"/>
      <c r="C33" s="205" t="s">
        <v>86</v>
      </c>
      <c r="D33" s="205"/>
      <c r="E33" s="205" t="s">
        <v>80</v>
      </c>
      <c r="F33" s="205">
        <v>1</v>
      </c>
      <c r="G33" s="206">
        <v>4525</v>
      </c>
      <c r="H33" s="206">
        <f t="shared" si="1"/>
        <v>4525</v>
      </c>
    </row>
    <row r="34" spans="1:10">
      <c r="A34" s="105"/>
      <c r="B34" s="105"/>
      <c r="C34" s="106"/>
      <c r="D34" s="106"/>
      <c r="E34" s="106"/>
      <c r="F34" s="106"/>
      <c r="G34" s="152"/>
      <c r="H34" s="152"/>
    </row>
    <row r="35" spans="1:10" s="106" customFormat="1">
      <c r="A35" s="203" t="s">
        <v>94</v>
      </c>
      <c r="B35" s="203" t="s">
        <v>59</v>
      </c>
      <c r="C35" s="203" t="s">
        <v>95</v>
      </c>
      <c r="D35" s="203" t="s">
        <v>61</v>
      </c>
      <c r="E35" s="203" t="s">
        <v>80</v>
      </c>
      <c r="F35" s="203"/>
      <c r="G35" s="204"/>
      <c r="H35" s="204">
        <f>SUM(H36:H40)</f>
        <v>96922</v>
      </c>
      <c r="I35" s="147">
        <f>+AIU!$G$25</f>
        <v>1.4255</v>
      </c>
      <c r="J35" s="104">
        <f>ROUND(H35*I35,0)</f>
        <v>138162</v>
      </c>
    </row>
    <row r="36" spans="1:10" s="106" customFormat="1">
      <c r="A36" s="205" t="s">
        <v>94</v>
      </c>
      <c r="B36" s="205" t="s">
        <v>63</v>
      </c>
      <c r="C36" s="205" t="s">
        <v>64</v>
      </c>
      <c r="D36" s="205" t="s">
        <v>65</v>
      </c>
      <c r="E36" s="205" t="s">
        <v>66</v>
      </c>
      <c r="F36" s="205">
        <v>0.78</v>
      </c>
      <c r="G36" s="206">
        <v>23915</v>
      </c>
      <c r="H36" s="206">
        <f>+ROUND(F36*G36,0)</f>
        <v>18654</v>
      </c>
    </row>
    <row r="37" spans="1:10" s="106" customFormat="1">
      <c r="A37" s="205" t="s">
        <v>94</v>
      </c>
      <c r="B37" s="205" t="s">
        <v>84</v>
      </c>
      <c r="C37" s="205" t="s">
        <v>85</v>
      </c>
      <c r="D37" s="205" t="s">
        <v>69</v>
      </c>
      <c r="E37" s="205" t="s">
        <v>66</v>
      </c>
      <c r="F37" s="205">
        <v>0.7</v>
      </c>
      <c r="G37" s="206">
        <v>99367</v>
      </c>
      <c r="H37" s="206">
        <f>+ROUND(F37*G37,0)</f>
        <v>69557</v>
      </c>
    </row>
    <row r="38" spans="1:10" s="106" customFormat="1">
      <c r="A38" s="205" t="s">
        <v>94</v>
      </c>
      <c r="B38" s="205" t="s">
        <v>71</v>
      </c>
      <c r="C38" s="205" t="s">
        <v>72</v>
      </c>
      <c r="D38" s="205" t="s">
        <v>73</v>
      </c>
      <c r="E38" s="205" t="s">
        <v>74</v>
      </c>
      <c r="F38" s="205">
        <v>0.78</v>
      </c>
      <c r="G38" s="206">
        <v>3311</v>
      </c>
      <c r="H38" s="206">
        <f>+ROUND(F38*G38,0)</f>
        <v>2583</v>
      </c>
    </row>
    <row r="39" spans="1:10" s="106" customFormat="1">
      <c r="A39" s="205" t="s">
        <v>94</v>
      </c>
      <c r="B39" s="205" t="s">
        <v>75</v>
      </c>
      <c r="C39" s="205" t="s">
        <v>76</v>
      </c>
      <c r="D39" s="205" t="s">
        <v>77</v>
      </c>
      <c r="E39" s="205" t="s">
        <v>74</v>
      </c>
      <c r="F39" s="205">
        <v>0.92500000000000004</v>
      </c>
      <c r="G39" s="206">
        <v>1733</v>
      </c>
      <c r="H39" s="206">
        <f>+ROUND(F39*G39,0)</f>
        <v>1603</v>
      </c>
    </row>
    <row r="40" spans="1:10" s="106" customFormat="1">
      <c r="A40" s="205" t="s">
        <v>94</v>
      </c>
      <c r="B40" s="205"/>
      <c r="C40" s="205" t="s">
        <v>86</v>
      </c>
      <c r="D40" s="205"/>
      <c r="E40" s="205" t="s">
        <v>80</v>
      </c>
      <c r="F40" s="205">
        <v>1</v>
      </c>
      <c r="G40" s="206">
        <v>4525</v>
      </c>
      <c r="H40" s="206">
        <f>+ROUND(F40*G40,0)</f>
        <v>4525</v>
      </c>
    </row>
    <row r="41" spans="1:10">
      <c r="A41" s="105"/>
      <c r="B41" s="105"/>
      <c r="C41" s="106"/>
      <c r="D41" s="106"/>
      <c r="E41" s="106"/>
      <c r="F41" s="106"/>
      <c r="G41" s="152"/>
      <c r="H41" s="152"/>
    </row>
    <row r="42" spans="1:10" s="106" customFormat="1">
      <c r="A42" s="203" t="s">
        <v>96</v>
      </c>
      <c r="B42" s="203" t="s">
        <v>59</v>
      </c>
      <c r="C42" s="203" t="s">
        <v>97</v>
      </c>
      <c r="D42" s="203" t="s">
        <v>61</v>
      </c>
      <c r="E42" s="203" t="s">
        <v>80</v>
      </c>
      <c r="F42" s="203"/>
      <c r="G42" s="204"/>
      <c r="H42" s="204">
        <f>SUM(H43:H45)</f>
        <v>31684</v>
      </c>
      <c r="I42" s="147">
        <f>+AIU!$G$25</f>
        <v>1.4255</v>
      </c>
      <c r="J42" s="104">
        <f>ROUND(H42*I42,0)</f>
        <v>45166</v>
      </c>
    </row>
    <row r="43" spans="1:10" s="106" customFormat="1">
      <c r="A43" s="205" t="s">
        <v>96</v>
      </c>
      <c r="B43" s="205" t="s">
        <v>81</v>
      </c>
      <c r="C43" s="205" t="s">
        <v>82</v>
      </c>
      <c r="D43" s="205" t="s">
        <v>65</v>
      </c>
      <c r="E43" s="205" t="s">
        <v>66</v>
      </c>
      <c r="F43" s="205">
        <v>0.54</v>
      </c>
      <c r="G43" s="206">
        <v>51509</v>
      </c>
      <c r="H43" s="206">
        <f>+ROUND(F43*G43,0)</f>
        <v>27815</v>
      </c>
      <c r="J43" s="104"/>
    </row>
    <row r="44" spans="1:10" s="106" customFormat="1">
      <c r="A44" s="205" t="s">
        <v>96</v>
      </c>
      <c r="B44" s="207" t="s">
        <v>98</v>
      </c>
      <c r="C44" s="210" t="s">
        <v>99</v>
      </c>
      <c r="D44" s="207" t="s">
        <v>77</v>
      </c>
      <c r="E44" s="207" t="s">
        <v>80</v>
      </c>
      <c r="F44" s="205">
        <v>1.4999999999999999E-2</v>
      </c>
      <c r="G44" s="206">
        <f>+VLOOKUP(B44,[111]Insumos!$A$2:$F$2700,5,FALSE)</f>
        <v>169651</v>
      </c>
      <c r="H44" s="206">
        <f>+ROUND(F44*G44,0)</f>
        <v>2545</v>
      </c>
      <c r="J44" s="104"/>
    </row>
    <row r="45" spans="1:10" s="106" customFormat="1">
      <c r="A45" s="205" t="s">
        <v>96</v>
      </c>
      <c r="B45" s="205" t="s">
        <v>71</v>
      </c>
      <c r="C45" s="205" t="s">
        <v>72</v>
      </c>
      <c r="D45" s="205" t="s">
        <v>73</v>
      </c>
      <c r="E45" s="205" t="s">
        <v>74</v>
      </c>
      <c r="F45" s="205">
        <v>0.4</v>
      </c>
      <c r="G45" s="206">
        <v>3311</v>
      </c>
      <c r="H45" s="206">
        <f>+ROUND(F45*G45,0)</f>
        <v>1324</v>
      </c>
      <c r="J45" s="104"/>
    </row>
    <row r="46" spans="1:10">
      <c r="A46" s="105"/>
      <c r="B46" s="105"/>
      <c r="C46" s="106"/>
      <c r="D46" s="106"/>
      <c r="E46" s="106"/>
      <c r="F46" s="106"/>
      <c r="G46" s="152"/>
      <c r="H46" s="152"/>
      <c r="J46" s="104"/>
    </row>
    <row r="47" spans="1:10">
      <c r="A47" s="394" t="s">
        <v>352</v>
      </c>
      <c r="B47" s="394" t="s">
        <v>59</v>
      </c>
      <c r="C47" s="395" t="s">
        <v>353</v>
      </c>
      <c r="D47" s="395" t="s">
        <v>61</v>
      </c>
      <c r="E47" s="395" t="s">
        <v>188</v>
      </c>
      <c r="F47" s="395"/>
      <c r="G47" s="395"/>
      <c r="H47" s="395">
        <v>118223</v>
      </c>
      <c r="I47" s="147">
        <f>+AIU!$G$25</f>
        <v>1.4255</v>
      </c>
      <c r="J47" s="104">
        <f t="shared" ref="J47:J53" si="2">ROUND(H47*I47,0)</f>
        <v>168527</v>
      </c>
    </row>
    <row r="48" spans="1:10">
      <c r="A48" s="393" t="s">
        <v>352</v>
      </c>
      <c r="B48" s="393" t="s">
        <v>81</v>
      </c>
      <c r="C48" s="393" t="s">
        <v>82</v>
      </c>
      <c r="D48" s="393" t="s">
        <v>65</v>
      </c>
      <c r="E48" s="393" t="s">
        <v>66</v>
      </c>
      <c r="F48" s="393">
        <v>1.75</v>
      </c>
      <c r="G48" s="393">
        <f>+VLOOKUP(B48,[112]Insumos!$A$2:$F$5000,5,FALSE)</f>
        <v>51509</v>
      </c>
      <c r="H48" s="393">
        <f t="shared" ref="H48:H51" si="3">+ROUND(F48*G48,0)</f>
        <v>90141</v>
      </c>
      <c r="J48" s="104"/>
    </row>
    <row r="49" spans="1:82">
      <c r="A49" s="393" t="s">
        <v>352</v>
      </c>
      <c r="B49" s="393" t="s">
        <v>354</v>
      </c>
      <c r="C49" s="393" t="s">
        <v>355</v>
      </c>
      <c r="D49" s="393" t="s">
        <v>69</v>
      </c>
      <c r="E49" s="393" t="s">
        <v>70</v>
      </c>
      <c r="F49" s="393">
        <v>0.1</v>
      </c>
      <c r="G49" s="393">
        <f>+VLOOKUP(B49,[112]Insumos!$A$2:$F$5000,5,FALSE)</f>
        <v>216810</v>
      </c>
      <c r="H49" s="393">
        <f t="shared" si="3"/>
        <v>21681</v>
      </c>
      <c r="J49" s="104"/>
    </row>
    <row r="50" spans="1:82">
      <c r="A50" s="393" t="s">
        <v>352</v>
      </c>
      <c r="B50" s="393" t="s">
        <v>71</v>
      </c>
      <c r="C50" s="393" t="s">
        <v>72</v>
      </c>
      <c r="D50" s="393" t="s">
        <v>73</v>
      </c>
      <c r="E50" s="393" t="s">
        <v>74</v>
      </c>
      <c r="F50" s="393">
        <v>1.75</v>
      </c>
      <c r="G50" s="393">
        <f>+VLOOKUP(B50,[112]Insumos!$A$2:$F$5000,5,FALSE)</f>
        <v>3311</v>
      </c>
      <c r="H50" s="393">
        <f t="shared" si="3"/>
        <v>5794</v>
      </c>
      <c r="J50" s="104"/>
    </row>
    <row r="51" spans="1:82">
      <c r="A51" s="393" t="s">
        <v>352</v>
      </c>
      <c r="B51" s="393" t="s">
        <v>75</v>
      </c>
      <c r="C51" s="393" t="s">
        <v>76</v>
      </c>
      <c r="D51" s="393" t="s">
        <v>77</v>
      </c>
      <c r="E51" s="393" t="s">
        <v>74</v>
      </c>
      <c r="F51" s="393">
        <v>0.35</v>
      </c>
      <c r="G51" s="393">
        <f>+VLOOKUP(B51,[112]Insumos!$A$2:$F$5000,5,FALSE)</f>
        <v>1733</v>
      </c>
      <c r="H51" s="393">
        <f t="shared" si="3"/>
        <v>607</v>
      </c>
      <c r="J51" s="104"/>
    </row>
    <row r="52" spans="1:82">
      <c r="A52" s="105"/>
      <c r="B52" s="105"/>
      <c r="C52" s="106"/>
      <c r="D52" s="106"/>
      <c r="E52" s="106"/>
      <c r="F52" s="106"/>
      <c r="G52" s="152"/>
      <c r="H52" s="152"/>
      <c r="J52" s="104"/>
    </row>
    <row r="53" spans="1:82">
      <c r="A53" s="394" t="s">
        <v>356</v>
      </c>
      <c r="B53" s="394" t="s">
        <v>59</v>
      </c>
      <c r="C53" s="395" t="s">
        <v>357</v>
      </c>
      <c r="D53" s="395" t="s">
        <v>61</v>
      </c>
      <c r="E53" s="395" t="s">
        <v>80</v>
      </c>
      <c r="F53" s="395"/>
      <c r="G53" s="395"/>
      <c r="H53" s="395">
        <v>33354</v>
      </c>
      <c r="I53" s="147">
        <f>+AIU!$G$25</f>
        <v>1.4255</v>
      </c>
      <c r="J53" s="104">
        <f t="shared" si="2"/>
        <v>47546</v>
      </c>
    </row>
    <row r="54" spans="1:82">
      <c r="A54" s="393" t="s">
        <v>356</v>
      </c>
      <c r="B54" s="393" t="s">
        <v>92</v>
      </c>
      <c r="C54" s="393" t="s">
        <v>93</v>
      </c>
      <c r="D54" s="393" t="s">
        <v>65</v>
      </c>
      <c r="E54" s="393" t="s">
        <v>66</v>
      </c>
      <c r="F54" s="393">
        <v>0.7</v>
      </c>
      <c r="G54" s="393">
        <f>+VLOOKUP(B54,[112]Insumos!$A$2:$F$5000,5,FALSE)</f>
        <v>42311</v>
      </c>
      <c r="H54" s="393">
        <f t="shared" ref="H54:H56" si="4">+ROUND(F54*G54,0)</f>
        <v>29618</v>
      </c>
    </row>
    <row r="55" spans="1:82">
      <c r="A55" s="393" t="s">
        <v>356</v>
      </c>
      <c r="B55" s="393" t="s">
        <v>71</v>
      </c>
      <c r="C55" s="393" t="s">
        <v>72</v>
      </c>
      <c r="D55" s="393" t="s">
        <v>73</v>
      </c>
      <c r="E55" s="393" t="s">
        <v>74</v>
      </c>
      <c r="F55" s="393">
        <v>0.5</v>
      </c>
      <c r="G55" s="393">
        <f>+VLOOKUP(B55,[112]Insumos!$A$2:$F$5000,5,FALSE)</f>
        <v>3311</v>
      </c>
      <c r="H55" s="393">
        <f t="shared" si="4"/>
        <v>1656</v>
      </c>
    </row>
    <row r="56" spans="1:82">
      <c r="A56" s="393" t="s">
        <v>356</v>
      </c>
      <c r="B56" s="393" t="s">
        <v>75</v>
      </c>
      <c r="C56" s="393" t="s">
        <v>76</v>
      </c>
      <c r="D56" s="393" t="s">
        <v>77</v>
      </c>
      <c r="E56" s="393" t="s">
        <v>74</v>
      </c>
      <c r="F56" s="393">
        <v>1.2</v>
      </c>
      <c r="G56" s="393">
        <f>+VLOOKUP(B56,[112]Insumos!$A$2:$F$5000,5,FALSE)</f>
        <v>1733</v>
      </c>
      <c r="H56" s="393">
        <f t="shared" si="4"/>
        <v>2080</v>
      </c>
    </row>
    <row r="57" spans="1:82">
      <c r="A57" s="105"/>
      <c r="B57" s="105"/>
      <c r="C57" s="106"/>
      <c r="D57" s="106"/>
      <c r="E57" s="106"/>
      <c r="F57" s="106"/>
      <c r="G57" s="152"/>
      <c r="H57" s="152"/>
    </row>
    <row r="58" spans="1:82" s="106" customFormat="1">
      <c r="A58" s="203" t="s">
        <v>100</v>
      </c>
      <c r="B58" s="203" t="s">
        <v>59</v>
      </c>
      <c r="C58" s="203" t="s">
        <v>101</v>
      </c>
      <c r="D58" s="203" t="s">
        <v>61</v>
      </c>
      <c r="E58" s="203" t="s">
        <v>80</v>
      </c>
      <c r="F58" s="203"/>
      <c r="G58" s="204"/>
      <c r="H58" s="204">
        <f>SUM(H59:H61)</f>
        <v>46254</v>
      </c>
      <c r="I58" s="147">
        <f>+AIU!$G$25</f>
        <v>1.4255</v>
      </c>
      <c r="J58" s="104">
        <f>ROUND(H58*I58,0)</f>
        <v>65935</v>
      </c>
    </row>
    <row r="59" spans="1:82" s="156" customFormat="1">
      <c r="A59" s="211" t="s">
        <v>100</v>
      </c>
      <c r="B59" s="211" t="s">
        <v>81</v>
      </c>
      <c r="C59" s="211" t="s">
        <v>82</v>
      </c>
      <c r="D59" s="211" t="s">
        <v>65</v>
      </c>
      <c r="E59" s="211" t="s">
        <v>66</v>
      </c>
      <c r="F59" s="211">
        <v>0.81</v>
      </c>
      <c r="G59" s="212">
        <v>51509</v>
      </c>
      <c r="H59" s="212">
        <f>+ROUND(F59*G59,0)</f>
        <v>41722</v>
      </c>
      <c r="I59" s="106"/>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row>
    <row r="60" spans="1:82" s="156" customFormat="1">
      <c r="A60" s="211" t="s">
        <v>100</v>
      </c>
      <c r="B60" s="213" t="s">
        <v>98</v>
      </c>
      <c r="C60" s="214" t="s">
        <v>99</v>
      </c>
      <c r="D60" s="213" t="s">
        <v>77</v>
      </c>
      <c r="E60" s="213" t="s">
        <v>80</v>
      </c>
      <c r="F60" s="211">
        <v>1.4999999999999999E-2</v>
      </c>
      <c r="G60" s="212">
        <f>+VLOOKUP(B60,[111]Insumos!$A$2:$F$2700,5,FALSE)</f>
        <v>169651</v>
      </c>
      <c r="H60" s="212">
        <f>+ROUND(F60*G60,0)</f>
        <v>2545</v>
      </c>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row>
    <row r="61" spans="1:82" s="156" customFormat="1">
      <c r="A61" s="211" t="s">
        <v>100</v>
      </c>
      <c r="B61" s="211" t="s">
        <v>71</v>
      </c>
      <c r="C61" s="211" t="s">
        <v>72</v>
      </c>
      <c r="D61" s="211" t="s">
        <v>73</v>
      </c>
      <c r="E61" s="211" t="s">
        <v>74</v>
      </c>
      <c r="F61" s="211">
        <v>0.6</v>
      </c>
      <c r="G61" s="212">
        <v>3311</v>
      </c>
      <c r="H61" s="212">
        <f>+ROUND(F61*G61,0)</f>
        <v>1987</v>
      </c>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c r="BA61" s="101"/>
      <c r="BB61" s="101"/>
      <c r="BC61" s="101"/>
      <c r="BD61" s="101"/>
      <c r="BE61" s="101"/>
      <c r="BF61" s="101"/>
      <c r="BG61" s="101"/>
      <c r="BH61" s="101"/>
      <c r="BI61" s="101"/>
      <c r="BJ61" s="101"/>
      <c r="BK61" s="101"/>
      <c r="BL61" s="101"/>
      <c r="BM61" s="101"/>
      <c r="BN61" s="101"/>
      <c r="BO61" s="101"/>
      <c r="BP61" s="101"/>
      <c r="BQ61" s="101"/>
      <c r="BR61" s="101"/>
      <c r="BS61" s="101"/>
      <c r="BT61" s="101"/>
      <c r="BU61" s="101"/>
      <c r="BV61" s="101"/>
      <c r="BW61" s="101"/>
      <c r="BX61" s="101"/>
      <c r="BY61" s="101"/>
      <c r="BZ61" s="101"/>
      <c r="CA61" s="101"/>
      <c r="CB61" s="101"/>
      <c r="CC61" s="101"/>
      <c r="CD61" s="101"/>
    </row>
    <row r="63" spans="1:82" s="106" customFormat="1">
      <c r="A63" s="246" t="s">
        <v>102</v>
      </c>
      <c r="B63" s="203" t="s">
        <v>59</v>
      </c>
      <c r="C63" s="203" t="s">
        <v>103</v>
      </c>
      <c r="D63" s="203" t="s">
        <v>61</v>
      </c>
      <c r="E63" s="203" t="s">
        <v>62</v>
      </c>
      <c r="F63" s="203"/>
      <c r="G63" s="204"/>
      <c r="H63" s="204">
        <f>SUM(H64:H69)</f>
        <v>9437</v>
      </c>
      <c r="I63" s="147">
        <f>+AIU!$G$25</f>
        <v>1.4255</v>
      </c>
      <c r="J63" s="104">
        <f>ROUND(H63*I63,0)</f>
        <v>13452</v>
      </c>
    </row>
    <row r="64" spans="1:82" s="156" customFormat="1">
      <c r="A64" s="211" t="s">
        <v>102</v>
      </c>
      <c r="B64" s="211" t="s">
        <v>81</v>
      </c>
      <c r="C64" s="211" t="s">
        <v>82</v>
      </c>
      <c r="D64" s="211" t="s">
        <v>65</v>
      </c>
      <c r="E64" s="211" t="s">
        <v>66</v>
      </c>
      <c r="F64" s="215">
        <v>0.08</v>
      </c>
      <c r="G64" s="212">
        <v>51509</v>
      </c>
      <c r="H64" s="212">
        <f t="shared" ref="H64:H69" si="5">+ROUND(F64*G64,0)</f>
        <v>4121</v>
      </c>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row>
    <row r="65" spans="1:64" s="156" customFormat="1">
      <c r="A65" s="211" t="s">
        <v>102</v>
      </c>
      <c r="B65" s="211" t="s">
        <v>104</v>
      </c>
      <c r="C65" s="211" t="s">
        <v>105</v>
      </c>
      <c r="D65" s="211" t="s">
        <v>69</v>
      </c>
      <c r="E65" s="211" t="s">
        <v>106</v>
      </c>
      <c r="F65" s="215">
        <v>5.1999999999999995E-4</v>
      </c>
      <c r="G65" s="212">
        <v>171308</v>
      </c>
      <c r="H65" s="212">
        <f t="shared" si="5"/>
        <v>89</v>
      </c>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row>
    <row r="66" spans="1:64" s="156" customFormat="1">
      <c r="A66" s="211" t="s">
        <v>102</v>
      </c>
      <c r="B66" s="211" t="s">
        <v>71</v>
      </c>
      <c r="C66" s="211" t="s">
        <v>72</v>
      </c>
      <c r="D66" s="211" t="s">
        <v>73</v>
      </c>
      <c r="E66" s="211" t="s">
        <v>74</v>
      </c>
      <c r="F66" s="215">
        <v>0.15</v>
      </c>
      <c r="G66" s="212">
        <v>3311</v>
      </c>
      <c r="H66" s="212">
        <f t="shared" si="5"/>
        <v>497</v>
      </c>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row>
    <row r="67" spans="1:64" s="156" customFormat="1">
      <c r="A67" s="211" t="s">
        <v>102</v>
      </c>
      <c r="B67" s="211" t="s">
        <v>75</v>
      </c>
      <c r="C67" s="211" t="s">
        <v>76</v>
      </c>
      <c r="D67" s="211" t="s">
        <v>77</v>
      </c>
      <c r="E67" s="211" t="s">
        <v>74</v>
      </c>
      <c r="F67" s="215">
        <v>0.159</v>
      </c>
      <c r="G67" s="212">
        <v>1733</v>
      </c>
      <c r="H67" s="212">
        <f t="shared" si="5"/>
        <v>276</v>
      </c>
      <c r="I67" s="106"/>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row>
    <row r="68" spans="1:64" s="156" customFormat="1">
      <c r="A68" s="211" t="s">
        <v>102</v>
      </c>
      <c r="B68" s="211" t="s">
        <v>107</v>
      </c>
      <c r="C68" s="211" t="s">
        <v>108</v>
      </c>
      <c r="D68" s="211" t="s">
        <v>77</v>
      </c>
      <c r="E68" s="211" t="s">
        <v>62</v>
      </c>
      <c r="F68" s="215">
        <v>0.25</v>
      </c>
      <c r="G68" s="212">
        <v>2995</v>
      </c>
      <c r="H68" s="212">
        <f t="shared" si="5"/>
        <v>749</v>
      </c>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row>
    <row r="69" spans="1:64" s="156" customFormat="1">
      <c r="A69" s="211" t="s">
        <v>102</v>
      </c>
      <c r="B69" s="211" t="s">
        <v>109</v>
      </c>
      <c r="C69" s="211" t="s">
        <v>110</v>
      </c>
      <c r="D69" s="211" t="s">
        <v>77</v>
      </c>
      <c r="E69" s="211" t="s">
        <v>62</v>
      </c>
      <c r="F69" s="215">
        <v>1.1000000000000001</v>
      </c>
      <c r="G69" s="212">
        <v>3368</v>
      </c>
      <c r="H69" s="212">
        <f t="shared" si="5"/>
        <v>3705</v>
      </c>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row>
    <row r="70" spans="1:64">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row>
    <row r="71" spans="1:64" s="106" customFormat="1">
      <c r="A71" s="203" t="s">
        <v>111</v>
      </c>
      <c r="B71" s="203" t="s">
        <v>59</v>
      </c>
      <c r="C71" s="203" t="s">
        <v>112</v>
      </c>
      <c r="D71" s="203" t="s">
        <v>61</v>
      </c>
      <c r="E71" s="203" t="s">
        <v>80</v>
      </c>
      <c r="F71" s="203"/>
      <c r="G71" s="204"/>
      <c r="H71" s="204">
        <f>SUM(H72:H76)</f>
        <v>142575</v>
      </c>
      <c r="I71" s="147">
        <f>+AIU!$G$25</f>
        <v>1.4255</v>
      </c>
      <c r="J71" s="104">
        <f>ROUND(H71*I71,0)</f>
        <v>203241</v>
      </c>
    </row>
    <row r="72" spans="1:64" s="106" customFormat="1">
      <c r="A72" s="205" t="s">
        <v>111</v>
      </c>
      <c r="B72" s="205" t="s">
        <v>92</v>
      </c>
      <c r="C72" s="205" t="s">
        <v>93</v>
      </c>
      <c r="D72" s="205" t="s">
        <v>65</v>
      </c>
      <c r="E72" s="205" t="s">
        <v>66</v>
      </c>
      <c r="F72" s="205">
        <v>0.4</v>
      </c>
      <c r="G72" s="206">
        <v>42311</v>
      </c>
      <c r="H72" s="206">
        <f>+ROUND(F72*G72,0)</f>
        <v>16924</v>
      </c>
    </row>
    <row r="73" spans="1:64" s="106" customFormat="1">
      <c r="A73" s="205" t="s">
        <v>111</v>
      </c>
      <c r="B73" s="205" t="s">
        <v>113</v>
      </c>
      <c r="C73" s="205" t="s">
        <v>114</v>
      </c>
      <c r="D73" s="205" t="s">
        <v>69</v>
      </c>
      <c r="E73" s="205" t="s">
        <v>106</v>
      </c>
      <c r="F73" s="205">
        <v>0.5</v>
      </c>
      <c r="G73" s="206">
        <v>56533</v>
      </c>
      <c r="H73" s="206">
        <f>+ROUND(F73*G73,0)</f>
        <v>28267</v>
      </c>
    </row>
    <row r="74" spans="1:64" s="106" customFormat="1">
      <c r="A74" s="205" t="s">
        <v>111</v>
      </c>
      <c r="B74" s="205" t="s">
        <v>71</v>
      </c>
      <c r="C74" s="205" t="s">
        <v>72</v>
      </c>
      <c r="D74" s="205" t="s">
        <v>73</v>
      </c>
      <c r="E74" s="205" t="s">
        <v>74</v>
      </c>
      <c r="F74" s="205">
        <v>0.5</v>
      </c>
      <c r="G74" s="206">
        <v>3311</v>
      </c>
      <c r="H74" s="206">
        <f>+ROUND(F74*G74,0)</f>
        <v>1656</v>
      </c>
    </row>
    <row r="75" spans="1:64" s="106" customFormat="1">
      <c r="A75" s="205" t="s">
        <v>111</v>
      </c>
      <c r="B75" s="205" t="s">
        <v>75</v>
      </c>
      <c r="C75" s="205" t="s">
        <v>76</v>
      </c>
      <c r="D75" s="205" t="s">
        <v>77</v>
      </c>
      <c r="E75" s="205" t="s">
        <v>74</v>
      </c>
      <c r="F75" s="205">
        <v>2.1</v>
      </c>
      <c r="G75" s="206">
        <v>1733</v>
      </c>
      <c r="H75" s="206">
        <f>+ROUND(F75*G75,0)</f>
        <v>3639</v>
      </c>
    </row>
    <row r="76" spans="1:64" s="156" customFormat="1">
      <c r="A76" s="213" t="s">
        <v>111</v>
      </c>
      <c r="B76" s="213" t="s">
        <v>115</v>
      </c>
      <c r="C76" s="213" t="s">
        <v>116</v>
      </c>
      <c r="D76" s="213" t="s">
        <v>77</v>
      </c>
      <c r="E76" s="213" t="s">
        <v>80</v>
      </c>
      <c r="F76" s="215">
        <v>1.4</v>
      </c>
      <c r="G76" s="216">
        <v>65778</v>
      </c>
      <c r="H76" s="216">
        <f>+ROUND(F76*G76,0)</f>
        <v>92089</v>
      </c>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row>
    <row r="77" spans="1:64">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row>
    <row r="78" spans="1:64" s="106" customFormat="1" ht="18" customHeight="1">
      <c r="A78" s="203" t="s">
        <v>117</v>
      </c>
      <c r="B78" s="203" t="s">
        <v>59</v>
      </c>
      <c r="C78" s="203" t="s">
        <v>118</v>
      </c>
      <c r="D78" s="203" t="s">
        <v>61</v>
      </c>
      <c r="E78" s="203" t="s">
        <v>80</v>
      </c>
      <c r="F78" s="203"/>
      <c r="G78" s="204"/>
      <c r="H78" s="204">
        <f>SUM(H79:H85)</f>
        <v>164962</v>
      </c>
      <c r="I78" s="147">
        <f>+AIU!$G$25</f>
        <v>1.4255</v>
      </c>
      <c r="J78" s="104">
        <f>ROUND(H78*I78,0)</f>
        <v>235153</v>
      </c>
    </row>
    <row r="79" spans="1:64" s="106" customFormat="1">
      <c r="A79" s="207" t="s">
        <v>117</v>
      </c>
      <c r="B79" s="205" t="s">
        <v>92</v>
      </c>
      <c r="C79" s="205" t="s">
        <v>93</v>
      </c>
      <c r="D79" s="205" t="s">
        <v>65</v>
      </c>
      <c r="E79" s="205" t="s">
        <v>66</v>
      </c>
      <c r="F79" s="205">
        <v>0.4</v>
      </c>
      <c r="G79" s="205">
        <v>42311</v>
      </c>
      <c r="H79" s="205">
        <f t="shared" ref="H79:H83" si="6">+ROUND(F79*G79,0)</f>
        <v>16924</v>
      </c>
    </row>
    <row r="80" spans="1:64" s="106" customFormat="1">
      <c r="A80" s="207" t="s">
        <v>117</v>
      </c>
      <c r="B80" s="205" t="s">
        <v>104</v>
      </c>
      <c r="C80" s="205" t="s">
        <v>105</v>
      </c>
      <c r="D80" s="205" t="s">
        <v>69</v>
      </c>
      <c r="E80" s="205" t="s">
        <v>106</v>
      </c>
      <c r="F80" s="205">
        <v>1.6299999999999999E-2</v>
      </c>
      <c r="G80" s="205">
        <v>171308</v>
      </c>
      <c r="H80" s="205">
        <f t="shared" si="6"/>
        <v>2792</v>
      </c>
    </row>
    <row r="81" spans="1:50" s="106" customFormat="1">
      <c r="A81" s="207" t="s">
        <v>117</v>
      </c>
      <c r="B81" s="388" t="s">
        <v>337</v>
      </c>
      <c r="C81" t="s">
        <v>339</v>
      </c>
      <c r="D81" t="s">
        <v>69</v>
      </c>
      <c r="E81" t="s">
        <v>66</v>
      </c>
      <c r="F81">
        <v>4.4999999999999998E-2</v>
      </c>
      <c r="G81">
        <f>+VLOOKUP(B81,[112]Insumos!$A$2:$F$5000,5,FALSE)</f>
        <v>278207</v>
      </c>
      <c r="H81">
        <f t="shared" si="6"/>
        <v>12519</v>
      </c>
    </row>
    <row r="82" spans="1:50" s="159" customFormat="1">
      <c r="A82" s="217" t="s">
        <v>117</v>
      </c>
      <c r="B82" s="217" t="s">
        <v>338</v>
      </c>
      <c r="C82" s="215" t="s">
        <v>119</v>
      </c>
      <c r="D82" s="215" t="s">
        <v>69</v>
      </c>
      <c r="E82" s="215" t="s">
        <v>66</v>
      </c>
      <c r="F82" s="215">
        <v>4.4999999999999998E-2</v>
      </c>
      <c r="G82" s="215">
        <v>278207</v>
      </c>
      <c r="H82" s="215">
        <f t="shared" si="6"/>
        <v>12519</v>
      </c>
      <c r="I82" s="106"/>
      <c r="J82" s="106"/>
      <c r="K82" s="106"/>
    </row>
    <row r="83" spans="1:50" s="159" customFormat="1">
      <c r="A83" s="217" t="s">
        <v>117</v>
      </c>
      <c r="B83" s="215" t="s">
        <v>71</v>
      </c>
      <c r="C83" s="215" t="s">
        <v>72</v>
      </c>
      <c r="D83" s="215" t="s">
        <v>73</v>
      </c>
      <c r="E83" s="215" t="s">
        <v>74</v>
      </c>
      <c r="F83" s="215">
        <v>0.09</v>
      </c>
      <c r="G83" s="215">
        <v>3311</v>
      </c>
      <c r="H83" s="215">
        <f t="shared" si="6"/>
        <v>298</v>
      </c>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row>
    <row r="84" spans="1:50" s="159" customFormat="1">
      <c r="A84" s="217" t="s">
        <v>117</v>
      </c>
      <c r="B84" s="215" t="s">
        <v>75</v>
      </c>
      <c r="C84" s="215" t="s">
        <v>76</v>
      </c>
      <c r="D84" s="215" t="s">
        <v>77</v>
      </c>
      <c r="E84" s="215" t="s">
        <v>74</v>
      </c>
      <c r="F84" s="215">
        <v>0.85</v>
      </c>
      <c r="G84" s="215">
        <v>1733</v>
      </c>
      <c r="H84" s="215">
        <f>+ROUND(F84*G84,0)</f>
        <v>1473</v>
      </c>
      <c r="I84" s="106"/>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row>
    <row r="85" spans="1:50" s="159" customFormat="1">
      <c r="A85" s="217" t="s">
        <v>117</v>
      </c>
      <c r="B85" s="215" t="s">
        <v>120</v>
      </c>
      <c r="C85" s="215" t="s">
        <v>121</v>
      </c>
      <c r="D85" s="215" t="s">
        <v>77</v>
      </c>
      <c r="E85" s="215" t="s">
        <v>80</v>
      </c>
      <c r="F85" s="215">
        <v>1.02</v>
      </c>
      <c r="G85" s="101">
        <v>116115</v>
      </c>
      <c r="H85" s="215">
        <f>+ROUND(F85*G85,0)</f>
        <v>118437</v>
      </c>
      <c r="I85" s="106"/>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row>
    <row r="86" spans="1:50" s="106" customFormat="1">
      <c r="A86" s="101"/>
      <c r="B86" s="101"/>
      <c r="C86" s="101"/>
      <c r="D86" s="101"/>
      <c r="E86" s="101"/>
      <c r="F86" s="101"/>
      <c r="H86" s="101"/>
    </row>
    <row r="87" spans="1:50" s="106" customFormat="1" ht="33.75" customHeight="1">
      <c r="A87" s="245" t="s">
        <v>122</v>
      </c>
      <c r="B87" s="203" t="s">
        <v>59</v>
      </c>
      <c r="C87" s="208" t="s">
        <v>123</v>
      </c>
      <c r="D87" s="203" t="s">
        <v>61</v>
      </c>
      <c r="E87" s="203" t="s">
        <v>80</v>
      </c>
      <c r="F87" s="203"/>
      <c r="G87" s="204"/>
      <c r="H87" s="204">
        <f>SUM(H88:H98)</f>
        <v>863990</v>
      </c>
      <c r="I87" s="147">
        <f>+AIU!$G$25</f>
        <v>1.4255</v>
      </c>
      <c r="J87" s="104">
        <f>ROUND(H87*I87,0)</f>
        <v>1231618</v>
      </c>
    </row>
    <row r="88" spans="1:50" s="106" customFormat="1">
      <c r="A88" s="205" t="s">
        <v>122</v>
      </c>
      <c r="B88" s="205" t="s">
        <v>124</v>
      </c>
      <c r="C88" s="205" t="s">
        <v>125</v>
      </c>
      <c r="D88" s="205" t="s">
        <v>126</v>
      </c>
      <c r="E88" s="205" t="s">
        <v>80</v>
      </c>
      <c r="F88" s="205">
        <v>1.05</v>
      </c>
      <c r="G88" s="206">
        <v>571213</v>
      </c>
      <c r="H88" s="206">
        <f t="shared" ref="H88:H98" si="7">+ROUND(F88*G88,0)</f>
        <v>599774</v>
      </c>
    </row>
    <row r="89" spans="1:50" s="106" customFormat="1">
      <c r="A89" s="205" t="s">
        <v>122</v>
      </c>
      <c r="B89" s="205" t="s">
        <v>81</v>
      </c>
      <c r="C89" s="205" t="s">
        <v>82</v>
      </c>
      <c r="D89" s="205" t="s">
        <v>65</v>
      </c>
      <c r="E89" s="205" t="s">
        <v>66</v>
      </c>
      <c r="F89" s="205">
        <v>3.5</v>
      </c>
      <c r="G89" s="206">
        <v>51509</v>
      </c>
      <c r="H89" s="206">
        <f t="shared" si="7"/>
        <v>180282</v>
      </c>
    </row>
    <row r="90" spans="1:50" s="106" customFormat="1">
      <c r="A90" s="205" t="s">
        <v>122</v>
      </c>
      <c r="B90" s="205" t="s">
        <v>104</v>
      </c>
      <c r="C90" s="205" t="s">
        <v>105</v>
      </c>
      <c r="D90" s="205" t="s">
        <v>69</v>
      </c>
      <c r="E90" s="205" t="s">
        <v>106</v>
      </c>
      <c r="F90" s="205">
        <v>6.5699999999999995E-2</v>
      </c>
      <c r="G90" s="206">
        <v>171308</v>
      </c>
      <c r="H90" s="206">
        <f t="shared" si="7"/>
        <v>11255</v>
      </c>
    </row>
    <row r="91" spans="1:50" s="106" customFormat="1">
      <c r="A91" s="205" t="s">
        <v>122</v>
      </c>
      <c r="B91" s="205" t="s">
        <v>127</v>
      </c>
      <c r="C91" s="205" t="s">
        <v>128</v>
      </c>
      <c r="D91" s="205" t="s">
        <v>69</v>
      </c>
      <c r="E91" s="205" t="s">
        <v>106</v>
      </c>
      <c r="F91" s="205">
        <v>0.1</v>
      </c>
      <c r="G91" s="206">
        <v>99367</v>
      </c>
      <c r="H91" s="206">
        <f t="shared" si="7"/>
        <v>9937</v>
      </c>
    </row>
    <row r="92" spans="1:50" s="106" customFormat="1">
      <c r="A92" s="205" t="s">
        <v>122</v>
      </c>
      <c r="B92" s="205" t="s">
        <v>129</v>
      </c>
      <c r="C92" s="205" t="s">
        <v>130</v>
      </c>
      <c r="D92" s="205" t="s">
        <v>69</v>
      </c>
      <c r="E92" s="205" t="s">
        <v>106</v>
      </c>
      <c r="F92" s="205">
        <v>0.1</v>
      </c>
      <c r="G92" s="206">
        <v>67825</v>
      </c>
      <c r="H92" s="206">
        <f t="shared" si="7"/>
        <v>6783</v>
      </c>
    </row>
    <row r="93" spans="1:50" s="106" customFormat="1">
      <c r="A93" s="205" t="s">
        <v>122</v>
      </c>
      <c r="B93" s="205" t="s">
        <v>71</v>
      </c>
      <c r="C93" s="205" t="s">
        <v>72</v>
      </c>
      <c r="D93" s="205" t="s">
        <v>73</v>
      </c>
      <c r="E93" s="205" t="s">
        <v>74</v>
      </c>
      <c r="F93" s="205">
        <v>3.5</v>
      </c>
      <c r="G93" s="206">
        <v>3311</v>
      </c>
      <c r="H93" s="206">
        <f t="shared" si="7"/>
        <v>11589</v>
      </c>
    </row>
    <row r="94" spans="1:50" s="106" customFormat="1">
      <c r="A94" s="205" t="s">
        <v>122</v>
      </c>
      <c r="B94" s="205" t="s">
        <v>75</v>
      </c>
      <c r="C94" s="205" t="s">
        <v>76</v>
      </c>
      <c r="D94" s="205" t="s">
        <v>77</v>
      </c>
      <c r="E94" s="205" t="s">
        <v>74</v>
      </c>
      <c r="F94" s="205">
        <v>7</v>
      </c>
      <c r="G94" s="206">
        <v>1733</v>
      </c>
      <c r="H94" s="206">
        <f t="shared" si="7"/>
        <v>12131</v>
      </c>
    </row>
    <row r="95" spans="1:50" s="106" customFormat="1">
      <c r="A95" s="205" t="s">
        <v>122</v>
      </c>
      <c r="B95" s="205" t="s">
        <v>131</v>
      </c>
      <c r="C95" s="205" t="s">
        <v>132</v>
      </c>
      <c r="D95" s="205" t="s">
        <v>77</v>
      </c>
      <c r="E95" s="205" t="s">
        <v>133</v>
      </c>
      <c r="F95" s="205">
        <v>0.2</v>
      </c>
      <c r="G95" s="206">
        <v>4680</v>
      </c>
      <c r="H95" s="206">
        <f t="shared" si="7"/>
        <v>936</v>
      </c>
    </row>
    <row r="96" spans="1:50" s="106" customFormat="1">
      <c r="A96" s="205" t="s">
        <v>122</v>
      </c>
      <c r="B96" s="205" t="s">
        <v>134</v>
      </c>
      <c r="C96" s="205" t="s">
        <v>135</v>
      </c>
      <c r="D96" s="205" t="s">
        <v>77</v>
      </c>
      <c r="E96" s="205" t="s">
        <v>74</v>
      </c>
      <c r="F96" s="205">
        <v>0.09</v>
      </c>
      <c r="G96" s="206">
        <v>44393</v>
      </c>
      <c r="H96" s="206">
        <f t="shared" si="7"/>
        <v>3995</v>
      </c>
    </row>
    <row r="97" spans="1:10" s="106" customFormat="1">
      <c r="A97" s="205" t="s">
        <v>122</v>
      </c>
      <c r="B97" s="205" t="s">
        <v>136</v>
      </c>
      <c r="C97" s="205" t="s">
        <v>137</v>
      </c>
      <c r="D97" s="205" t="s">
        <v>77</v>
      </c>
      <c r="E97" s="205" t="s">
        <v>74</v>
      </c>
      <c r="F97" s="205">
        <v>0.8</v>
      </c>
      <c r="G97" s="206">
        <v>13848</v>
      </c>
      <c r="H97" s="206">
        <f t="shared" si="7"/>
        <v>11078</v>
      </c>
    </row>
    <row r="98" spans="1:10" s="106" customFormat="1">
      <c r="A98" s="205" t="s">
        <v>122</v>
      </c>
      <c r="B98" s="205" t="s">
        <v>138</v>
      </c>
      <c r="C98" s="205" t="s">
        <v>139</v>
      </c>
      <c r="D98" s="205" t="s">
        <v>77</v>
      </c>
      <c r="E98" s="205" t="s">
        <v>74</v>
      </c>
      <c r="F98" s="205">
        <v>1.25</v>
      </c>
      <c r="G98" s="206">
        <v>12984</v>
      </c>
      <c r="H98" s="206">
        <f t="shared" si="7"/>
        <v>16230</v>
      </c>
    </row>
    <row r="99" spans="1:10" s="106" customFormat="1">
      <c r="A99" s="101"/>
      <c r="B99" s="101"/>
      <c r="C99" s="101"/>
      <c r="D99" s="101"/>
      <c r="E99" s="101"/>
      <c r="F99" s="101"/>
      <c r="G99" s="153"/>
      <c r="H99" s="153"/>
    </row>
    <row r="100" spans="1:10" s="106" customFormat="1" ht="35.25" customHeight="1">
      <c r="A100" s="245" t="s">
        <v>140</v>
      </c>
      <c r="B100" s="203" t="s">
        <v>59</v>
      </c>
      <c r="C100" s="208" t="s">
        <v>141</v>
      </c>
      <c r="D100" s="203" t="s">
        <v>61</v>
      </c>
      <c r="E100" s="203" t="s">
        <v>80</v>
      </c>
      <c r="F100" s="203" t="s">
        <v>142</v>
      </c>
      <c r="G100" s="204" t="s">
        <v>142</v>
      </c>
      <c r="H100" s="204">
        <f>SUM(H101:H111)</f>
        <v>998745</v>
      </c>
      <c r="I100" s="147">
        <f>+AIU!$G$25</f>
        <v>1.4255</v>
      </c>
      <c r="J100" s="104">
        <f>ROUND(H100*I100,0)</f>
        <v>1423711</v>
      </c>
    </row>
    <row r="101" spans="1:10" s="106" customFormat="1">
      <c r="A101" s="205" t="s">
        <v>143</v>
      </c>
      <c r="B101" s="205" t="s">
        <v>81</v>
      </c>
      <c r="C101" s="205" t="s">
        <v>82</v>
      </c>
      <c r="D101" s="205" t="s">
        <v>65</v>
      </c>
      <c r="E101" s="205" t="s">
        <v>66</v>
      </c>
      <c r="F101" s="205">
        <v>2.4</v>
      </c>
      <c r="G101" s="206">
        <v>51509</v>
      </c>
      <c r="H101" s="206">
        <f t="shared" ref="H101:H111" si="8">+ROUND(F101*G101,0)</f>
        <v>123622</v>
      </c>
      <c r="I101"/>
      <c r="J101"/>
    </row>
    <row r="102" spans="1:10" s="106" customFormat="1">
      <c r="A102" s="205" t="s">
        <v>143</v>
      </c>
      <c r="B102" s="205" t="s">
        <v>104</v>
      </c>
      <c r="C102" s="205" t="s">
        <v>105</v>
      </c>
      <c r="D102" s="205" t="s">
        <v>69</v>
      </c>
      <c r="E102" s="205" t="s">
        <v>106</v>
      </c>
      <c r="F102" s="205">
        <v>0.03</v>
      </c>
      <c r="G102" s="206">
        <v>171308</v>
      </c>
      <c r="H102" s="206">
        <f t="shared" si="8"/>
        <v>5139</v>
      </c>
      <c r="I102"/>
      <c r="J102"/>
    </row>
    <row r="103" spans="1:10" s="106" customFormat="1">
      <c r="A103" s="205" t="s">
        <v>143</v>
      </c>
      <c r="B103" s="205" t="s">
        <v>127</v>
      </c>
      <c r="C103" s="205" t="s">
        <v>128</v>
      </c>
      <c r="D103" s="205" t="s">
        <v>69</v>
      </c>
      <c r="E103" s="205" t="s">
        <v>106</v>
      </c>
      <c r="F103" s="205">
        <v>0.1</v>
      </c>
      <c r="G103" s="206">
        <v>99367</v>
      </c>
      <c r="H103" s="206">
        <f t="shared" si="8"/>
        <v>9937</v>
      </c>
      <c r="I103"/>
      <c r="J103"/>
    </row>
    <row r="104" spans="1:10" s="106" customFormat="1">
      <c r="A104" s="205" t="s">
        <v>143</v>
      </c>
      <c r="B104" s="205" t="s">
        <v>129</v>
      </c>
      <c r="C104" s="205" t="s">
        <v>130</v>
      </c>
      <c r="D104" s="205" t="s">
        <v>69</v>
      </c>
      <c r="E104" s="205" t="s">
        <v>106</v>
      </c>
      <c r="F104" s="205">
        <v>0.1</v>
      </c>
      <c r="G104" s="206">
        <v>67825</v>
      </c>
      <c r="H104" s="206">
        <f t="shared" si="8"/>
        <v>6783</v>
      </c>
      <c r="I104"/>
      <c r="J104"/>
    </row>
    <row r="105" spans="1:10" s="106" customFormat="1">
      <c r="A105" s="205" t="s">
        <v>143</v>
      </c>
      <c r="B105" s="205" t="s">
        <v>71</v>
      </c>
      <c r="C105" s="205" t="s">
        <v>72</v>
      </c>
      <c r="D105" s="205" t="s">
        <v>73</v>
      </c>
      <c r="E105" s="205" t="s">
        <v>74</v>
      </c>
      <c r="F105" s="205">
        <v>2.6</v>
      </c>
      <c r="G105" s="206">
        <v>3311</v>
      </c>
      <c r="H105" s="206">
        <f t="shared" si="8"/>
        <v>8609</v>
      </c>
      <c r="I105"/>
      <c r="J105"/>
    </row>
    <row r="106" spans="1:10" s="106" customFormat="1">
      <c r="A106" s="205" t="s">
        <v>143</v>
      </c>
      <c r="B106" s="205" t="s">
        <v>75</v>
      </c>
      <c r="C106" s="205" t="s">
        <v>76</v>
      </c>
      <c r="D106" s="205" t="s">
        <v>77</v>
      </c>
      <c r="E106" s="205" t="s">
        <v>74</v>
      </c>
      <c r="F106" s="205">
        <v>7</v>
      </c>
      <c r="G106" s="206">
        <v>1733</v>
      </c>
      <c r="H106" s="206">
        <f t="shared" si="8"/>
        <v>12131</v>
      </c>
      <c r="I106"/>
      <c r="J106"/>
    </row>
    <row r="107" spans="1:10" s="159" customFormat="1">
      <c r="A107" s="215" t="s">
        <v>143</v>
      </c>
      <c r="B107" s="215" t="s">
        <v>144</v>
      </c>
      <c r="C107" s="215" t="s">
        <v>145</v>
      </c>
      <c r="D107" s="215" t="s">
        <v>77</v>
      </c>
      <c r="E107" s="215" t="s">
        <v>80</v>
      </c>
      <c r="F107" s="215">
        <v>1.05</v>
      </c>
      <c r="G107" s="219">
        <v>762176</v>
      </c>
      <c r="H107" s="219">
        <f t="shared" si="8"/>
        <v>800285</v>
      </c>
      <c r="I107" s="253"/>
      <c r="J107" s="253"/>
    </row>
    <row r="108" spans="1:10" s="106" customFormat="1">
      <c r="A108" s="205" t="s">
        <v>143</v>
      </c>
      <c r="B108" s="205" t="s">
        <v>131</v>
      </c>
      <c r="C108" s="205" t="s">
        <v>132</v>
      </c>
      <c r="D108" s="205" t="s">
        <v>77</v>
      </c>
      <c r="E108" s="205" t="s">
        <v>133</v>
      </c>
      <c r="F108" s="205">
        <v>0.2</v>
      </c>
      <c r="G108" s="206">
        <v>4680</v>
      </c>
      <c r="H108" s="206">
        <f t="shared" si="8"/>
        <v>936</v>
      </c>
      <c r="I108"/>
      <c r="J108"/>
    </row>
    <row r="109" spans="1:10" s="106" customFormat="1">
      <c r="A109" s="205" t="s">
        <v>143</v>
      </c>
      <c r="B109" s="205" t="s">
        <v>134</v>
      </c>
      <c r="C109" s="205" t="s">
        <v>135</v>
      </c>
      <c r="D109" s="205" t="s">
        <v>77</v>
      </c>
      <c r="E109" s="205" t="s">
        <v>74</v>
      </c>
      <c r="F109" s="205">
        <v>0.09</v>
      </c>
      <c r="G109" s="206">
        <v>44393</v>
      </c>
      <c r="H109" s="206">
        <f t="shared" si="8"/>
        <v>3995</v>
      </c>
      <c r="I109"/>
      <c r="J109"/>
    </row>
    <row r="110" spans="1:10" s="106" customFormat="1">
      <c r="A110" s="205" t="s">
        <v>143</v>
      </c>
      <c r="B110" s="205" t="s">
        <v>136</v>
      </c>
      <c r="C110" s="205" t="s">
        <v>137</v>
      </c>
      <c r="D110" s="205" t="s">
        <v>77</v>
      </c>
      <c r="E110" s="205" t="s">
        <v>74</v>
      </c>
      <c r="F110" s="205">
        <v>0.8</v>
      </c>
      <c r="G110" s="206">
        <v>13848</v>
      </c>
      <c r="H110" s="206">
        <f t="shared" si="8"/>
        <v>11078</v>
      </c>
      <c r="I110"/>
      <c r="J110"/>
    </row>
    <row r="111" spans="1:10" s="106" customFormat="1">
      <c r="A111" s="205" t="s">
        <v>143</v>
      </c>
      <c r="B111" s="205" t="s">
        <v>138</v>
      </c>
      <c r="C111" s="205" t="s">
        <v>139</v>
      </c>
      <c r="D111" s="205" t="s">
        <v>77</v>
      </c>
      <c r="E111" s="205" t="s">
        <v>74</v>
      </c>
      <c r="F111" s="205">
        <v>1.25</v>
      </c>
      <c r="G111" s="206">
        <v>12984</v>
      </c>
      <c r="H111" s="206">
        <f t="shared" si="8"/>
        <v>16230</v>
      </c>
      <c r="I111"/>
      <c r="J111"/>
    </row>
    <row r="112" spans="1:10" s="106" customFormat="1">
      <c r="A112" s="101"/>
      <c r="B112" s="101"/>
      <c r="C112" s="101"/>
      <c r="D112" s="101"/>
      <c r="E112" s="101"/>
      <c r="F112" s="101"/>
      <c r="G112" s="158"/>
      <c r="H112" s="158"/>
    </row>
    <row r="113" spans="1:10" s="106" customFormat="1" ht="30" customHeight="1">
      <c r="A113" s="203" t="s">
        <v>146</v>
      </c>
      <c r="B113" s="203" t="s">
        <v>59</v>
      </c>
      <c r="C113" s="208" t="s">
        <v>147</v>
      </c>
      <c r="D113" s="203" t="s">
        <v>61</v>
      </c>
      <c r="E113" s="203" t="s">
        <v>62</v>
      </c>
      <c r="F113" s="203"/>
      <c r="G113" s="204"/>
      <c r="H113" s="204">
        <f>SUM(H114:H120)</f>
        <v>4769</v>
      </c>
      <c r="I113" s="147">
        <f>+AIU!$G$25</f>
        <v>1.4255</v>
      </c>
      <c r="J113" s="104">
        <f>ROUND(H113*I113,0)</f>
        <v>6798</v>
      </c>
    </row>
    <row r="114" spans="1:10" s="106" customFormat="1">
      <c r="A114" s="205" t="s">
        <v>146</v>
      </c>
      <c r="B114" s="205" t="s">
        <v>148</v>
      </c>
      <c r="C114" s="205" t="s">
        <v>149</v>
      </c>
      <c r="D114" s="205" t="s">
        <v>65</v>
      </c>
      <c r="E114" s="205" t="s">
        <v>66</v>
      </c>
      <c r="F114" s="205">
        <v>2E-3</v>
      </c>
      <c r="G114" s="206">
        <v>33113</v>
      </c>
      <c r="H114" s="206">
        <f t="shared" ref="H114:H120" si="9">+ROUND(F114*G114,0)</f>
        <v>66</v>
      </c>
    </row>
    <row r="115" spans="1:10" s="106" customFormat="1">
      <c r="A115" s="205" t="s">
        <v>146</v>
      </c>
      <c r="B115" s="205" t="s">
        <v>104</v>
      </c>
      <c r="C115" s="205" t="s">
        <v>105</v>
      </c>
      <c r="D115" s="205" t="s">
        <v>69</v>
      </c>
      <c r="E115" s="205" t="s">
        <v>106</v>
      </c>
      <c r="F115" s="205">
        <v>5.0000000000000001E-4</v>
      </c>
      <c r="G115" s="206">
        <v>171308</v>
      </c>
      <c r="H115" s="206">
        <f t="shared" si="9"/>
        <v>86</v>
      </c>
    </row>
    <row r="116" spans="1:10" s="106" customFormat="1">
      <c r="A116" s="205" t="s">
        <v>146</v>
      </c>
      <c r="B116" s="205" t="s">
        <v>150</v>
      </c>
      <c r="C116" s="205" t="s">
        <v>151</v>
      </c>
      <c r="D116" s="205" t="s">
        <v>69</v>
      </c>
      <c r="E116" s="205" t="s">
        <v>66</v>
      </c>
      <c r="F116" s="205">
        <v>2E-3</v>
      </c>
      <c r="G116" s="206">
        <v>93948</v>
      </c>
      <c r="H116" s="206">
        <f t="shared" si="9"/>
        <v>188</v>
      </c>
    </row>
    <row r="117" spans="1:10" s="106" customFormat="1">
      <c r="A117" s="205" t="s">
        <v>146</v>
      </c>
      <c r="B117" s="205" t="s">
        <v>152</v>
      </c>
      <c r="C117" s="205" t="s">
        <v>153</v>
      </c>
      <c r="D117" s="205" t="s">
        <v>69</v>
      </c>
      <c r="E117" s="205" t="s">
        <v>66</v>
      </c>
      <c r="F117" s="205">
        <v>2E-3</v>
      </c>
      <c r="G117" s="206">
        <v>97562</v>
      </c>
      <c r="H117" s="206">
        <f t="shared" si="9"/>
        <v>195</v>
      </c>
    </row>
    <row r="118" spans="1:10" s="106" customFormat="1">
      <c r="A118" s="205" t="s">
        <v>146</v>
      </c>
      <c r="B118" s="205" t="s">
        <v>71</v>
      </c>
      <c r="C118" s="205" t="s">
        <v>72</v>
      </c>
      <c r="D118" s="205" t="s">
        <v>73</v>
      </c>
      <c r="E118" s="205" t="s">
        <v>74</v>
      </c>
      <c r="F118" s="205">
        <v>1E-3</v>
      </c>
      <c r="G118" s="206">
        <v>3311</v>
      </c>
      <c r="H118" s="206">
        <f t="shared" si="9"/>
        <v>3</v>
      </c>
    </row>
    <row r="119" spans="1:10" s="106" customFormat="1">
      <c r="A119" s="205" t="s">
        <v>146</v>
      </c>
      <c r="B119" s="205" t="s">
        <v>75</v>
      </c>
      <c r="C119" s="205" t="s">
        <v>76</v>
      </c>
      <c r="D119" s="205" t="s">
        <v>77</v>
      </c>
      <c r="E119" s="205" t="s">
        <v>74</v>
      </c>
      <c r="F119" s="205">
        <v>2.3E-3</v>
      </c>
      <c r="G119" s="206">
        <v>1733</v>
      </c>
      <c r="H119" s="206">
        <f t="shared" si="9"/>
        <v>4</v>
      </c>
    </row>
    <row r="120" spans="1:10" s="106" customFormat="1">
      <c r="A120" s="205" t="s">
        <v>146</v>
      </c>
      <c r="B120" s="205" t="s">
        <v>154</v>
      </c>
      <c r="C120" s="205" t="s">
        <v>155</v>
      </c>
      <c r="D120" s="205" t="s">
        <v>77</v>
      </c>
      <c r="E120" s="205" t="s">
        <v>156</v>
      </c>
      <c r="F120" s="205">
        <v>1</v>
      </c>
      <c r="G120" s="206">
        <v>4227</v>
      </c>
      <c r="H120" s="206">
        <f t="shared" si="9"/>
        <v>4227</v>
      </c>
    </row>
    <row r="122" spans="1:10" s="159" customFormat="1" ht="33.75" customHeight="1">
      <c r="A122" s="246" t="s">
        <v>157</v>
      </c>
      <c r="B122" s="203" t="s">
        <v>59</v>
      </c>
      <c r="C122" s="208" t="s">
        <v>158</v>
      </c>
      <c r="D122" s="203" t="s">
        <v>61</v>
      </c>
      <c r="E122" s="203" t="s">
        <v>80</v>
      </c>
      <c r="F122" s="203"/>
      <c r="G122" s="204"/>
      <c r="H122" s="204">
        <f>SUM(H123:H131)</f>
        <v>974074</v>
      </c>
      <c r="I122" s="247">
        <f>+AIU!$G$25</f>
        <v>1.4255</v>
      </c>
      <c r="J122" s="248">
        <f>ROUND(H122*I122,0)</f>
        <v>1388542</v>
      </c>
    </row>
    <row r="123" spans="1:10" s="106" customFormat="1">
      <c r="A123" s="205" t="s">
        <v>157</v>
      </c>
      <c r="B123" s="205" t="s">
        <v>81</v>
      </c>
      <c r="C123" s="205" t="s">
        <v>82</v>
      </c>
      <c r="D123" s="205" t="s">
        <v>65</v>
      </c>
      <c r="E123" s="205" t="s">
        <v>66</v>
      </c>
      <c r="F123" s="205">
        <v>1</v>
      </c>
      <c r="G123" s="218">
        <v>51509</v>
      </c>
      <c r="H123" s="218">
        <f t="shared" ref="H123:H132" si="10">+ROUND(F123*G123,0)</f>
        <v>51509</v>
      </c>
    </row>
    <row r="124" spans="1:10" s="106" customFormat="1">
      <c r="A124" s="205" t="s">
        <v>157</v>
      </c>
      <c r="B124" s="205" t="s">
        <v>104</v>
      </c>
      <c r="C124" s="205" t="s">
        <v>105</v>
      </c>
      <c r="D124" s="205" t="s">
        <v>69</v>
      </c>
      <c r="E124" s="205" t="s">
        <v>106</v>
      </c>
      <c r="F124" s="205">
        <v>0.3</v>
      </c>
      <c r="G124" s="218">
        <v>171308</v>
      </c>
      <c r="H124" s="218">
        <f t="shared" si="10"/>
        <v>51392</v>
      </c>
    </row>
    <row r="125" spans="1:10" s="106" customFormat="1">
      <c r="A125" s="205" t="s">
        <v>157</v>
      </c>
      <c r="B125" s="205" t="s">
        <v>159</v>
      </c>
      <c r="C125" s="205" t="s">
        <v>160</v>
      </c>
      <c r="D125" s="205" t="s">
        <v>69</v>
      </c>
      <c r="E125" s="205" t="s">
        <v>66</v>
      </c>
      <c r="F125" s="205">
        <v>0.04</v>
      </c>
      <c r="G125" s="218">
        <v>189710</v>
      </c>
      <c r="H125" s="218">
        <f t="shared" si="10"/>
        <v>7588</v>
      </c>
    </row>
    <row r="126" spans="1:10" s="106" customFormat="1">
      <c r="A126" s="205" t="s">
        <v>157</v>
      </c>
      <c r="B126" s="205" t="s">
        <v>161</v>
      </c>
      <c r="C126" s="205" t="s">
        <v>162</v>
      </c>
      <c r="D126" s="205" t="s">
        <v>69</v>
      </c>
      <c r="E126" s="205" t="s">
        <v>66</v>
      </c>
      <c r="F126" s="205">
        <v>0.04</v>
      </c>
      <c r="G126" s="218">
        <v>153572</v>
      </c>
      <c r="H126" s="218">
        <f t="shared" si="10"/>
        <v>6143</v>
      </c>
    </row>
    <row r="127" spans="1:10" s="106" customFormat="1">
      <c r="A127" s="205" t="s">
        <v>157</v>
      </c>
      <c r="B127" s="205" t="s">
        <v>163</v>
      </c>
      <c r="C127" s="205" t="s">
        <v>164</v>
      </c>
      <c r="D127" s="205" t="s">
        <v>69</v>
      </c>
      <c r="E127" s="205" t="s">
        <v>66</v>
      </c>
      <c r="F127" s="205">
        <v>2E-3</v>
      </c>
      <c r="G127" s="218">
        <v>81302</v>
      </c>
      <c r="H127" s="218">
        <f t="shared" si="10"/>
        <v>163</v>
      </c>
    </row>
    <row r="128" spans="1:10" s="106" customFormat="1">
      <c r="A128" s="205" t="s">
        <v>157</v>
      </c>
      <c r="B128" s="205" t="s">
        <v>165</v>
      </c>
      <c r="C128" s="205" t="s">
        <v>166</v>
      </c>
      <c r="D128" s="205" t="s">
        <v>69</v>
      </c>
      <c r="E128" s="205" t="s">
        <v>66</v>
      </c>
      <c r="F128" s="205">
        <v>0.04</v>
      </c>
      <c r="G128" s="218">
        <v>144537</v>
      </c>
      <c r="H128" s="218">
        <f t="shared" si="10"/>
        <v>5781</v>
      </c>
    </row>
    <row r="129" spans="1:10" s="106" customFormat="1">
      <c r="A129" s="205" t="s">
        <v>157</v>
      </c>
      <c r="B129" s="205" t="s">
        <v>71</v>
      </c>
      <c r="C129" s="205" t="s">
        <v>72</v>
      </c>
      <c r="D129" s="205" t="s">
        <v>73</v>
      </c>
      <c r="E129" s="205" t="s">
        <v>74</v>
      </c>
      <c r="F129" s="205">
        <v>1</v>
      </c>
      <c r="G129" s="218">
        <v>3311</v>
      </c>
      <c r="H129" s="218">
        <f t="shared" si="10"/>
        <v>3311</v>
      </c>
    </row>
    <row r="130" spans="1:10" s="106" customFormat="1">
      <c r="A130" s="205" t="s">
        <v>157</v>
      </c>
      <c r="B130" s="205" t="s">
        <v>75</v>
      </c>
      <c r="C130" s="205" t="s">
        <v>76</v>
      </c>
      <c r="D130" s="205" t="s">
        <v>77</v>
      </c>
      <c r="E130" s="205" t="s">
        <v>74</v>
      </c>
      <c r="F130" s="205">
        <v>0.18</v>
      </c>
      <c r="G130" s="218">
        <v>1733</v>
      </c>
      <c r="H130" s="218">
        <f t="shared" si="10"/>
        <v>312</v>
      </c>
    </row>
    <row r="131" spans="1:10" s="106" customFormat="1">
      <c r="A131" s="397" t="s">
        <v>157</v>
      </c>
      <c r="B131" s="397" t="s">
        <v>167</v>
      </c>
      <c r="C131" s="388" t="s">
        <v>358</v>
      </c>
      <c r="D131" s="397" t="s">
        <v>77</v>
      </c>
      <c r="E131" s="397" t="s">
        <v>80</v>
      </c>
      <c r="F131" s="397">
        <v>1.25</v>
      </c>
      <c r="G131" s="403">
        <v>678300</v>
      </c>
      <c r="H131" s="399">
        <f t="shared" si="10"/>
        <v>847875</v>
      </c>
    </row>
    <row r="132" spans="1:10" ht="16.5" customHeight="1">
      <c r="A132" s="397"/>
      <c r="B132" s="397"/>
      <c r="C132" s="397" t="s">
        <v>360</v>
      </c>
      <c r="D132" s="397" t="s">
        <v>69</v>
      </c>
      <c r="E132" s="397" t="s">
        <v>361</v>
      </c>
      <c r="F132" s="397">
        <v>60</v>
      </c>
      <c r="G132" s="398">
        <v>1500</v>
      </c>
      <c r="H132" s="399">
        <f t="shared" si="10"/>
        <v>90000</v>
      </c>
    </row>
    <row r="133" spans="1:10" ht="16.5" customHeight="1">
      <c r="C133" s="400"/>
      <c r="D133" s="400"/>
      <c r="E133" s="400"/>
      <c r="F133" s="400"/>
      <c r="G133" s="401"/>
      <c r="H133" s="402"/>
    </row>
    <row r="134" spans="1:10" s="159" customFormat="1" ht="40.9" customHeight="1">
      <c r="A134" s="246" t="s">
        <v>168</v>
      </c>
      <c r="B134" s="203" t="s">
        <v>59</v>
      </c>
      <c r="C134" s="208" t="s">
        <v>169</v>
      </c>
      <c r="D134" s="203" t="s">
        <v>61</v>
      </c>
      <c r="E134" s="203" t="s">
        <v>80</v>
      </c>
      <c r="F134" s="203"/>
      <c r="G134" s="204"/>
      <c r="H134" s="204">
        <f>+SUM(H135:H141)</f>
        <v>1085070</v>
      </c>
      <c r="I134" s="247">
        <f>+AIU!$G$25</f>
        <v>1.4255</v>
      </c>
      <c r="J134" s="248">
        <f>ROUND(H134*I134,0)</f>
        <v>1546767</v>
      </c>
    </row>
    <row r="135" spans="1:10" s="106" customFormat="1">
      <c r="A135" s="205" t="s">
        <v>168</v>
      </c>
      <c r="B135" s="205" t="s">
        <v>81</v>
      </c>
      <c r="C135" s="205" t="s">
        <v>82</v>
      </c>
      <c r="D135" s="205" t="s">
        <v>65</v>
      </c>
      <c r="E135" s="205" t="s">
        <v>66</v>
      </c>
      <c r="F135" s="205">
        <v>1.5</v>
      </c>
      <c r="G135" s="218">
        <v>51509</v>
      </c>
      <c r="H135" s="347">
        <f t="shared" ref="H135:H142" si="11">+ROUND(F135*G135,0)</f>
        <v>77264</v>
      </c>
    </row>
    <row r="136" spans="1:10" s="106" customFormat="1">
      <c r="A136" s="205" t="s">
        <v>168</v>
      </c>
      <c r="B136" s="205" t="s">
        <v>104</v>
      </c>
      <c r="C136" s="205" t="s">
        <v>105</v>
      </c>
      <c r="D136" s="205" t="s">
        <v>69</v>
      </c>
      <c r="E136" s="205" t="s">
        <v>106</v>
      </c>
      <c r="F136" s="205">
        <v>0.2</v>
      </c>
      <c r="G136" s="218">
        <v>171308</v>
      </c>
      <c r="H136" s="347">
        <f t="shared" si="11"/>
        <v>34262</v>
      </c>
    </row>
    <row r="137" spans="1:10" s="106" customFormat="1">
      <c r="A137" s="205" t="s">
        <v>168</v>
      </c>
      <c r="B137" s="220" t="s">
        <v>170</v>
      </c>
      <c r="C137" s="207" t="s">
        <v>171</v>
      </c>
      <c r="D137" s="207" t="s">
        <v>69</v>
      </c>
      <c r="E137" s="207" t="s">
        <v>106</v>
      </c>
      <c r="F137" s="207">
        <f>1/8</f>
        <v>0.125</v>
      </c>
      <c r="G137" s="221">
        <v>786000</v>
      </c>
      <c r="H137" s="348">
        <f t="shared" si="11"/>
        <v>98250</v>
      </c>
    </row>
    <row r="138" spans="1:10" s="106" customFormat="1">
      <c r="A138" s="205" t="s">
        <v>168</v>
      </c>
      <c r="B138" s="220" t="s">
        <v>172</v>
      </c>
      <c r="C138" s="207" t="s">
        <v>173</v>
      </c>
      <c r="D138" s="207" t="s">
        <v>69</v>
      </c>
      <c r="E138" s="207" t="s">
        <v>106</v>
      </c>
      <c r="F138" s="207">
        <v>0.2</v>
      </c>
      <c r="G138" s="221">
        <v>110702</v>
      </c>
      <c r="H138" s="348">
        <f t="shared" si="11"/>
        <v>22140</v>
      </c>
    </row>
    <row r="139" spans="1:10" s="106" customFormat="1">
      <c r="A139" s="205" t="s">
        <v>168</v>
      </c>
      <c r="B139" s="207" t="s">
        <v>71</v>
      </c>
      <c r="C139" s="205" t="s">
        <v>72</v>
      </c>
      <c r="D139" s="205" t="s">
        <v>73</v>
      </c>
      <c r="E139" s="205" t="s">
        <v>74</v>
      </c>
      <c r="F139" s="205">
        <v>1.5</v>
      </c>
      <c r="G139" s="218">
        <v>3311</v>
      </c>
      <c r="H139" s="347">
        <f t="shared" si="11"/>
        <v>4967</v>
      </c>
    </row>
    <row r="140" spans="1:10" s="106" customFormat="1">
      <c r="A140" s="205" t="s">
        <v>168</v>
      </c>
      <c r="B140" s="205" t="s">
        <v>75</v>
      </c>
      <c r="C140" s="205" t="s">
        <v>76</v>
      </c>
      <c r="D140" s="205" t="s">
        <v>77</v>
      </c>
      <c r="E140" s="205" t="s">
        <v>74</v>
      </c>
      <c r="F140" s="205">
        <v>0.18</v>
      </c>
      <c r="G140" s="218">
        <v>1733</v>
      </c>
      <c r="H140" s="347">
        <f t="shared" si="11"/>
        <v>312</v>
      </c>
    </row>
    <row r="141" spans="1:10" s="106" customFormat="1">
      <c r="A141" s="205" t="s">
        <v>168</v>
      </c>
      <c r="B141" s="205" t="s">
        <v>167</v>
      </c>
      <c r="C141" s="207" t="s">
        <v>174</v>
      </c>
      <c r="D141" s="205" t="s">
        <v>77</v>
      </c>
      <c r="E141" s="205" t="s">
        <v>80</v>
      </c>
      <c r="F141" s="205">
        <v>1.25</v>
      </c>
      <c r="G141" s="219">
        <v>678300</v>
      </c>
      <c r="H141" s="347">
        <f t="shared" si="11"/>
        <v>847875</v>
      </c>
    </row>
    <row r="142" spans="1:10">
      <c r="A142" s="397"/>
      <c r="B142" s="397"/>
      <c r="C142" s="397" t="s">
        <v>360</v>
      </c>
      <c r="D142" s="397" t="s">
        <v>69</v>
      </c>
      <c r="E142" s="397" t="s">
        <v>361</v>
      </c>
      <c r="F142" s="397">
        <v>60</v>
      </c>
      <c r="G142" s="398">
        <v>1500</v>
      </c>
      <c r="H142" s="399">
        <f t="shared" si="11"/>
        <v>90000</v>
      </c>
    </row>
    <row r="143" spans="1:10">
      <c r="C143" s="400"/>
      <c r="D143" s="400"/>
      <c r="E143" s="400"/>
      <c r="F143" s="400"/>
      <c r="G143" s="401"/>
      <c r="H143" s="402"/>
    </row>
    <row r="144" spans="1:10" s="106" customFormat="1" ht="31.5" customHeight="1">
      <c r="A144" s="246" t="s">
        <v>175</v>
      </c>
      <c r="B144" s="203" t="s">
        <v>59</v>
      </c>
      <c r="C144" s="208" t="s">
        <v>176</v>
      </c>
      <c r="D144" s="203" t="s">
        <v>61</v>
      </c>
      <c r="E144" s="203" t="s">
        <v>62</v>
      </c>
      <c r="F144" s="203"/>
      <c r="G144" s="204"/>
      <c r="H144" s="204">
        <f>SUM(H145:H152)</f>
        <v>79699</v>
      </c>
      <c r="I144" s="147">
        <f>+AIU!$G$25</f>
        <v>1.4255</v>
      </c>
      <c r="J144" s="104">
        <f>ROUND(H144*I144,0)</f>
        <v>113611</v>
      </c>
    </row>
    <row r="145" spans="1:10" s="106" customFormat="1">
      <c r="A145" s="205" t="s">
        <v>175</v>
      </c>
      <c r="B145" s="205" t="s">
        <v>177</v>
      </c>
      <c r="C145" s="205" t="s">
        <v>178</v>
      </c>
      <c r="D145" s="205" t="s">
        <v>126</v>
      </c>
      <c r="E145" s="205" t="s">
        <v>80</v>
      </c>
      <c r="F145" s="205">
        <v>0.08</v>
      </c>
      <c r="G145" s="218">
        <v>554104</v>
      </c>
      <c r="H145" s="218">
        <f t="shared" ref="H145:H152" si="12">+ROUND(F145*G145,0)</f>
        <v>44328</v>
      </c>
    </row>
    <row r="146" spans="1:10" s="106" customFormat="1">
      <c r="A146" s="205" t="s">
        <v>175</v>
      </c>
      <c r="B146" s="205" t="s">
        <v>92</v>
      </c>
      <c r="C146" s="205" t="s">
        <v>93</v>
      </c>
      <c r="D146" s="205" t="s">
        <v>65</v>
      </c>
      <c r="E146" s="205" t="s">
        <v>66</v>
      </c>
      <c r="F146" s="205">
        <v>0.5</v>
      </c>
      <c r="G146" s="218">
        <v>42311</v>
      </c>
      <c r="H146" s="218">
        <f t="shared" si="12"/>
        <v>21156</v>
      </c>
    </row>
    <row r="147" spans="1:10" s="106" customFormat="1">
      <c r="A147" s="205" t="s">
        <v>175</v>
      </c>
      <c r="B147" s="205" t="s">
        <v>179</v>
      </c>
      <c r="C147" s="205" t="s">
        <v>180</v>
      </c>
      <c r="D147" s="205" t="s">
        <v>69</v>
      </c>
      <c r="E147" s="205" t="s">
        <v>106</v>
      </c>
      <c r="F147" s="205">
        <v>1.5</v>
      </c>
      <c r="G147" s="218">
        <v>462</v>
      </c>
      <c r="H147" s="218">
        <f t="shared" si="12"/>
        <v>693</v>
      </c>
    </row>
    <row r="148" spans="1:10" s="106" customFormat="1">
      <c r="A148" s="205" t="s">
        <v>175</v>
      </c>
      <c r="B148" s="205" t="s">
        <v>104</v>
      </c>
      <c r="C148" s="205" t="s">
        <v>105</v>
      </c>
      <c r="D148" s="205" t="s">
        <v>69</v>
      </c>
      <c r="E148" s="205" t="s">
        <v>106</v>
      </c>
      <c r="F148" s="205">
        <v>5.8999999999999999E-3</v>
      </c>
      <c r="G148" s="218">
        <v>171308</v>
      </c>
      <c r="H148" s="218">
        <f t="shared" si="12"/>
        <v>1011</v>
      </c>
    </row>
    <row r="149" spans="1:10" s="106" customFormat="1">
      <c r="A149" s="205" t="s">
        <v>175</v>
      </c>
      <c r="B149" s="205" t="s">
        <v>71</v>
      </c>
      <c r="C149" s="205" t="s">
        <v>72</v>
      </c>
      <c r="D149" s="205" t="s">
        <v>73</v>
      </c>
      <c r="E149" s="205" t="s">
        <v>74</v>
      </c>
      <c r="F149" s="205">
        <v>0.4</v>
      </c>
      <c r="G149" s="218">
        <v>3311</v>
      </c>
      <c r="H149" s="218">
        <f t="shared" si="12"/>
        <v>1324</v>
      </c>
    </row>
    <row r="150" spans="1:10" s="106" customFormat="1">
      <c r="A150" s="205" t="s">
        <v>175</v>
      </c>
      <c r="B150" s="205" t="s">
        <v>75</v>
      </c>
      <c r="C150" s="205" t="s">
        <v>76</v>
      </c>
      <c r="D150" s="205" t="s">
        <v>77</v>
      </c>
      <c r="E150" s="205" t="s">
        <v>74</v>
      </c>
      <c r="F150" s="205">
        <v>1.8</v>
      </c>
      <c r="G150" s="218">
        <v>1733</v>
      </c>
      <c r="H150" s="218">
        <f t="shared" si="12"/>
        <v>3119</v>
      </c>
    </row>
    <row r="151" spans="1:10" s="106" customFormat="1">
      <c r="A151" s="205" t="s">
        <v>175</v>
      </c>
      <c r="B151" s="205" t="s">
        <v>181</v>
      </c>
      <c r="C151" s="205" t="s">
        <v>182</v>
      </c>
      <c r="D151" s="205" t="s">
        <v>77</v>
      </c>
      <c r="E151" s="205" t="s">
        <v>62</v>
      </c>
      <c r="F151" s="205">
        <v>1</v>
      </c>
      <c r="G151" s="218">
        <v>4680</v>
      </c>
      <c r="H151" s="218">
        <f t="shared" si="12"/>
        <v>4680</v>
      </c>
    </row>
    <row r="152" spans="1:10" s="106" customFormat="1">
      <c r="A152" s="205" t="s">
        <v>175</v>
      </c>
      <c r="B152" s="205" t="s">
        <v>183</v>
      </c>
      <c r="C152" s="205" t="s">
        <v>184</v>
      </c>
      <c r="D152" s="205" t="s">
        <v>77</v>
      </c>
      <c r="E152" s="205" t="s">
        <v>185</v>
      </c>
      <c r="F152" s="205">
        <v>0.8</v>
      </c>
      <c r="G152" s="218">
        <v>4235</v>
      </c>
      <c r="H152" s="218">
        <f t="shared" si="12"/>
        <v>3388</v>
      </c>
    </row>
    <row r="154" spans="1:10" s="106" customFormat="1" ht="34.5" customHeight="1">
      <c r="A154" s="203" t="s">
        <v>186</v>
      </c>
      <c r="B154" s="203" t="s">
        <v>59</v>
      </c>
      <c r="C154" s="208" t="s">
        <v>187</v>
      </c>
      <c r="D154" s="203" t="s">
        <v>61</v>
      </c>
      <c r="E154" s="203" t="s">
        <v>188</v>
      </c>
      <c r="F154" s="203"/>
      <c r="G154" s="204"/>
      <c r="H154" s="204">
        <f>SUM(H155:H161)</f>
        <v>60215</v>
      </c>
      <c r="I154" s="147">
        <f>+AIU!$G$25</f>
        <v>1.4255</v>
      </c>
      <c r="J154" s="104">
        <f>ROUND(H154*I154,0)</f>
        <v>85836</v>
      </c>
    </row>
    <row r="155" spans="1:10" s="106" customFormat="1">
      <c r="A155" s="205" t="s">
        <v>186</v>
      </c>
      <c r="B155" s="205" t="s">
        <v>177</v>
      </c>
      <c r="C155" s="205" t="s">
        <v>178</v>
      </c>
      <c r="D155" s="205" t="s">
        <v>126</v>
      </c>
      <c r="E155" s="205" t="s">
        <v>80</v>
      </c>
      <c r="F155" s="205">
        <v>3.3000000000000002E-2</v>
      </c>
      <c r="G155" s="206">
        <v>554104</v>
      </c>
      <c r="H155" s="206">
        <f t="shared" ref="H155:H161" si="13">+ROUND(F155*G155,0)</f>
        <v>18285</v>
      </c>
    </row>
    <row r="156" spans="1:10" s="106" customFormat="1">
      <c r="A156" s="205" t="s">
        <v>186</v>
      </c>
      <c r="B156" s="205" t="s">
        <v>92</v>
      </c>
      <c r="C156" s="205" t="s">
        <v>93</v>
      </c>
      <c r="D156" s="205" t="s">
        <v>65</v>
      </c>
      <c r="E156" s="205" t="s">
        <v>66</v>
      </c>
      <c r="F156" s="205">
        <v>0.75</v>
      </c>
      <c r="G156" s="206">
        <v>42311</v>
      </c>
      <c r="H156" s="206">
        <f t="shared" si="13"/>
        <v>31733</v>
      </c>
    </row>
    <row r="157" spans="1:10" s="106" customFormat="1">
      <c r="A157" s="205" t="s">
        <v>186</v>
      </c>
      <c r="B157" s="205" t="s">
        <v>71</v>
      </c>
      <c r="C157" s="205" t="s">
        <v>72</v>
      </c>
      <c r="D157" s="205" t="s">
        <v>73</v>
      </c>
      <c r="E157" s="205" t="s">
        <v>74</v>
      </c>
      <c r="F157" s="205">
        <v>1.5</v>
      </c>
      <c r="G157" s="206">
        <v>3311</v>
      </c>
      <c r="H157" s="206">
        <f t="shared" si="13"/>
        <v>4967</v>
      </c>
    </row>
    <row r="158" spans="1:10" s="106" customFormat="1">
      <c r="A158" s="205" t="s">
        <v>186</v>
      </c>
      <c r="B158" s="205" t="s">
        <v>131</v>
      </c>
      <c r="C158" s="205" t="s">
        <v>132</v>
      </c>
      <c r="D158" s="205" t="s">
        <v>77</v>
      </c>
      <c r="E158" s="205" t="s">
        <v>133</v>
      </c>
      <c r="F158" s="205">
        <v>0.1</v>
      </c>
      <c r="G158" s="206">
        <v>4680</v>
      </c>
      <c r="H158" s="206">
        <f t="shared" si="13"/>
        <v>468</v>
      </c>
    </row>
    <row r="159" spans="1:10" s="106" customFormat="1">
      <c r="A159" s="205" t="s">
        <v>186</v>
      </c>
      <c r="B159" s="205" t="s">
        <v>134</v>
      </c>
      <c r="C159" s="205" t="s">
        <v>135</v>
      </c>
      <c r="D159" s="205" t="s">
        <v>77</v>
      </c>
      <c r="E159" s="205" t="s">
        <v>74</v>
      </c>
      <c r="F159" s="205">
        <v>0.01</v>
      </c>
      <c r="G159" s="206">
        <v>44393</v>
      </c>
      <c r="H159" s="206">
        <f t="shared" si="13"/>
        <v>444</v>
      </c>
    </row>
    <row r="160" spans="1:10" s="106" customFormat="1">
      <c r="A160" s="205" t="s">
        <v>186</v>
      </c>
      <c r="B160" s="205" t="s">
        <v>183</v>
      </c>
      <c r="C160" s="205" t="s">
        <v>184</v>
      </c>
      <c r="D160" s="205" t="s">
        <v>77</v>
      </c>
      <c r="E160" s="205" t="s">
        <v>185</v>
      </c>
      <c r="F160" s="205">
        <v>0.3</v>
      </c>
      <c r="G160" s="206">
        <v>4235</v>
      </c>
      <c r="H160" s="206">
        <f t="shared" si="13"/>
        <v>1271</v>
      </c>
    </row>
    <row r="161" spans="1:10" s="106" customFormat="1">
      <c r="A161" s="205" t="s">
        <v>186</v>
      </c>
      <c r="B161" s="205" t="s">
        <v>136</v>
      </c>
      <c r="C161" s="205" t="s">
        <v>137</v>
      </c>
      <c r="D161" s="205" t="s">
        <v>77</v>
      </c>
      <c r="E161" s="205" t="s">
        <v>74</v>
      </c>
      <c r="F161" s="205">
        <v>0.22</v>
      </c>
      <c r="G161" s="206">
        <v>13848</v>
      </c>
      <c r="H161" s="206">
        <f t="shared" si="13"/>
        <v>3047</v>
      </c>
    </row>
    <row r="163" spans="1:10" s="106" customFormat="1" ht="30.75" customHeight="1">
      <c r="A163" s="203" t="s">
        <v>189</v>
      </c>
      <c r="B163" s="203" t="s">
        <v>59</v>
      </c>
      <c r="C163" s="208" t="s">
        <v>190</v>
      </c>
      <c r="D163" s="203" t="s">
        <v>61</v>
      </c>
      <c r="E163" s="203" t="s">
        <v>62</v>
      </c>
      <c r="F163" s="203"/>
      <c r="G163" s="204"/>
      <c r="H163" s="204">
        <f>SUM(H164:H173)</f>
        <v>151682</v>
      </c>
      <c r="I163" s="147">
        <f>+AIU!$G$25</f>
        <v>1.4255</v>
      </c>
      <c r="J163" s="104">
        <f>ROUND(H163*I163,0)</f>
        <v>216223</v>
      </c>
    </row>
    <row r="164" spans="1:10" s="106" customFormat="1">
      <c r="A164" s="205" t="s">
        <v>189</v>
      </c>
      <c r="B164" s="205" t="s">
        <v>191</v>
      </c>
      <c r="C164" s="205" t="s">
        <v>192</v>
      </c>
      <c r="D164" s="205" t="s">
        <v>126</v>
      </c>
      <c r="E164" s="205" t="s">
        <v>80</v>
      </c>
      <c r="F164" s="205">
        <v>1.0999999999999999E-2</v>
      </c>
      <c r="G164" s="206">
        <v>590583</v>
      </c>
      <c r="H164" s="206">
        <f t="shared" ref="H164:H173" si="14">+ROUND(F164*G164,0)</f>
        <v>6496</v>
      </c>
    </row>
    <row r="165" spans="1:10" s="106" customFormat="1">
      <c r="A165" s="205" t="s">
        <v>189</v>
      </c>
      <c r="B165" s="205" t="s">
        <v>177</v>
      </c>
      <c r="C165" s="205" t="s">
        <v>178</v>
      </c>
      <c r="D165" s="205" t="s">
        <v>126</v>
      </c>
      <c r="E165" s="205" t="s">
        <v>80</v>
      </c>
      <c r="F165" s="205">
        <v>0.18</v>
      </c>
      <c r="G165" s="206">
        <v>554104</v>
      </c>
      <c r="H165" s="206">
        <f t="shared" si="14"/>
        <v>99739</v>
      </c>
    </row>
    <row r="166" spans="1:10" s="106" customFormat="1">
      <c r="A166" s="205" t="s">
        <v>189</v>
      </c>
      <c r="B166" s="205" t="s">
        <v>92</v>
      </c>
      <c r="C166" s="205" t="s">
        <v>93</v>
      </c>
      <c r="D166" s="205" t="s">
        <v>65</v>
      </c>
      <c r="E166" s="205" t="s">
        <v>66</v>
      </c>
      <c r="F166" s="205">
        <v>0.65</v>
      </c>
      <c r="G166" s="206">
        <v>42311</v>
      </c>
      <c r="H166" s="206">
        <f t="shared" si="14"/>
        <v>27502</v>
      </c>
    </row>
    <row r="167" spans="1:10" s="106" customFormat="1">
      <c r="A167" s="205" t="s">
        <v>189</v>
      </c>
      <c r="B167" s="205" t="s">
        <v>179</v>
      </c>
      <c r="C167" s="205" t="s">
        <v>180</v>
      </c>
      <c r="D167" s="205" t="s">
        <v>69</v>
      </c>
      <c r="E167" s="205" t="s">
        <v>106</v>
      </c>
      <c r="F167" s="205">
        <v>1.5</v>
      </c>
      <c r="G167" s="206">
        <v>462</v>
      </c>
      <c r="H167" s="206">
        <f t="shared" si="14"/>
        <v>693</v>
      </c>
    </row>
    <row r="168" spans="1:10" s="106" customFormat="1">
      <c r="A168" s="205" t="s">
        <v>189</v>
      </c>
      <c r="B168" s="205" t="s">
        <v>104</v>
      </c>
      <c r="C168" s="205" t="s">
        <v>105</v>
      </c>
      <c r="D168" s="205" t="s">
        <v>69</v>
      </c>
      <c r="E168" s="205" t="s">
        <v>106</v>
      </c>
      <c r="F168" s="205">
        <v>7.7999999999999996E-3</v>
      </c>
      <c r="G168" s="206">
        <v>171308</v>
      </c>
      <c r="H168" s="206">
        <f t="shared" si="14"/>
        <v>1336</v>
      </c>
    </row>
    <row r="169" spans="1:10" s="106" customFormat="1">
      <c r="A169" s="205" t="s">
        <v>189</v>
      </c>
      <c r="B169" s="205" t="s">
        <v>129</v>
      </c>
      <c r="C169" s="205" t="s">
        <v>130</v>
      </c>
      <c r="D169" s="205" t="s">
        <v>69</v>
      </c>
      <c r="E169" s="205" t="s">
        <v>106</v>
      </c>
      <c r="F169" s="205">
        <v>3.7999999999999999E-2</v>
      </c>
      <c r="G169" s="206">
        <v>67825</v>
      </c>
      <c r="H169" s="206">
        <f t="shared" si="14"/>
        <v>2577</v>
      </c>
    </row>
    <row r="170" spans="1:10" s="106" customFormat="1">
      <c r="A170" s="205" t="s">
        <v>189</v>
      </c>
      <c r="B170" s="205" t="s">
        <v>71</v>
      </c>
      <c r="C170" s="205" t="s">
        <v>72</v>
      </c>
      <c r="D170" s="205" t="s">
        <v>73</v>
      </c>
      <c r="E170" s="205" t="s">
        <v>74</v>
      </c>
      <c r="F170" s="205">
        <v>0.65</v>
      </c>
      <c r="G170" s="206">
        <v>3311</v>
      </c>
      <c r="H170" s="206">
        <f t="shared" si="14"/>
        <v>2152</v>
      </c>
    </row>
    <row r="171" spans="1:10" s="106" customFormat="1">
      <c r="A171" s="205" t="s">
        <v>189</v>
      </c>
      <c r="B171" s="205" t="s">
        <v>75</v>
      </c>
      <c r="C171" s="205" t="s">
        <v>76</v>
      </c>
      <c r="D171" s="205" t="s">
        <v>77</v>
      </c>
      <c r="E171" s="205" t="s">
        <v>74</v>
      </c>
      <c r="F171" s="205">
        <v>1.8</v>
      </c>
      <c r="G171" s="206">
        <v>1733</v>
      </c>
      <c r="H171" s="206">
        <f t="shared" si="14"/>
        <v>3119</v>
      </c>
    </row>
    <row r="172" spans="1:10" s="106" customFormat="1">
      <c r="A172" s="205" t="s">
        <v>189</v>
      </c>
      <c r="B172" s="205" t="s">
        <v>181</v>
      </c>
      <c r="C172" s="205" t="s">
        <v>182</v>
      </c>
      <c r="D172" s="205" t="s">
        <v>77</v>
      </c>
      <c r="E172" s="205" t="s">
        <v>62</v>
      </c>
      <c r="F172" s="205">
        <v>1</v>
      </c>
      <c r="G172" s="206">
        <v>4680</v>
      </c>
      <c r="H172" s="206">
        <f t="shared" si="14"/>
        <v>4680</v>
      </c>
    </row>
    <row r="173" spans="1:10" s="106" customFormat="1">
      <c r="A173" s="205" t="s">
        <v>189</v>
      </c>
      <c r="B173" s="205" t="s">
        <v>183</v>
      </c>
      <c r="C173" s="205" t="s">
        <v>184</v>
      </c>
      <c r="D173" s="205" t="s">
        <v>77</v>
      </c>
      <c r="E173" s="205" t="s">
        <v>185</v>
      </c>
      <c r="F173" s="205">
        <v>0.8</v>
      </c>
      <c r="G173" s="206">
        <v>4235</v>
      </c>
      <c r="H173" s="206">
        <f t="shared" si="14"/>
        <v>3388</v>
      </c>
    </row>
    <row r="175" spans="1:10" s="106" customFormat="1">
      <c r="A175" s="203" t="s">
        <v>193</v>
      </c>
      <c r="B175" s="203" t="s">
        <v>59</v>
      </c>
      <c r="C175" s="203" t="s">
        <v>194</v>
      </c>
      <c r="D175" s="203" t="s">
        <v>61</v>
      </c>
      <c r="E175" s="203" t="s">
        <v>188</v>
      </c>
      <c r="F175" s="203"/>
      <c r="G175" s="204"/>
      <c r="H175" s="204">
        <f>SUM(H176:H179)</f>
        <v>9572</v>
      </c>
      <c r="I175" s="147">
        <f>+AIU!$G$25</f>
        <v>1.4255</v>
      </c>
      <c r="J175" s="104">
        <f>ROUND(H175*I175,0)</f>
        <v>13645</v>
      </c>
    </row>
    <row r="176" spans="1:10" s="106" customFormat="1">
      <c r="A176" s="205" t="s">
        <v>193</v>
      </c>
      <c r="B176" s="205" t="s">
        <v>63</v>
      </c>
      <c r="C176" s="205" t="s">
        <v>64</v>
      </c>
      <c r="D176" s="205" t="s">
        <v>65</v>
      </c>
      <c r="E176" s="205" t="s">
        <v>66</v>
      </c>
      <c r="F176" s="205">
        <v>0.27</v>
      </c>
      <c r="G176" s="206">
        <v>23915</v>
      </c>
      <c r="H176" s="206">
        <f>+ROUND(F176*G176,0)</f>
        <v>6457</v>
      </c>
    </row>
    <row r="177" spans="1:10" s="106" customFormat="1">
      <c r="A177" s="205" t="s">
        <v>193</v>
      </c>
      <c r="B177" s="205" t="s">
        <v>195</v>
      </c>
      <c r="C177" s="205" t="s">
        <v>196</v>
      </c>
      <c r="D177" s="205" t="s">
        <v>69</v>
      </c>
      <c r="E177" s="205" t="s">
        <v>66</v>
      </c>
      <c r="F177" s="205">
        <v>0.4</v>
      </c>
      <c r="G177" s="206">
        <v>3614</v>
      </c>
      <c r="H177" s="206">
        <f>+ROUND(F177*G177,0)</f>
        <v>1446</v>
      </c>
    </row>
    <row r="178" spans="1:10" s="106" customFormat="1">
      <c r="A178" s="205" t="s">
        <v>193</v>
      </c>
      <c r="B178" s="205" t="s">
        <v>71</v>
      </c>
      <c r="C178" s="205" t="s">
        <v>72</v>
      </c>
      <c r="D178" s="205" t="s">
        <v>73</v>
      </c>
      <c r="E178" s="205" t="s">
        <v>74</v>
      </c>
      <c r="F178" s="205">
        <v>0.27</v>
      </c>
      <c r="G178" s="206">
        <v>3311</v>
      </c>
      <c r="H178" s="206">
        <f>+ROUND(F178*G178,0)</f>
        <v>894</v>
      </c>
    </row>
    <row r="179" spans="1:10" s="106" customFormat="1">
      <c r="A179" s="205" t="s">
        <v>193</v>
      </c>
      <c r="B179" s="205" t="s">
        <v>75</v>
      </c>
      <c r="C179" s="205" t="s">
        <v>76</v>
      </c>
      <c r="D179" s="205" t="s">
        <v>77</v>
      </c>
      <c r="E179" s="205" t="s">
        <v>74</v>
      </c>
      <c r="F179" s="205">
        <v>0.44700000000000001</v>
      </c>
      <c r="G179" s="206">
        <v>1733</v>
      </c>
      <c r="H179" s="206">
        <f>+ROUND(F179*G179,0)</f>
        <v>775</v>
      </c>
    </row>
    <row r="181" spans="1:10" s="106" customFormat="1">
      <c r="A181" s="203" t="s">
        <v>197</v>
      </c>
      <c r="B181" s="203" t="s">
        <v>59</v>
      </c>
      <c r="C181" s="203" t="s">
        <v>198</v>
      </c>
      <c r="D181" s="203" t="s">
        <v>61</v>
      </c>
      <c r="E181" s="203" t="s">
        <v>188</v>
      </c>
      <c r="F181" s="203"/>
      <c r="G181" s="204"/>
      <c r="H181" s="204">
        <f>SUM(H182:H185)</f>
        <v>7757</v>
      </c>
      <c r="I181" s="147">
        <f>+AIU!$G$25</f>
        <v>1.4255</v>
      </c>
      <c r="J181" s="104">
        <f>ROUND(H181*I181,0)</f>
        <v>11058</v>
      </c>
    </row>
    <row r="182" spans="1:10" s="106" customFormat="1">
      <c r="A182" s="205" t="s">
        <v>197</v>
      </c>
      <c r="B182" s="205" t="s">
        <v>63</v>
      </c>
      <c r="C182" s="205" t="s">
        <v>64</v>
      </c>
      <c r="D182" s="205" t="s">
        <v>65</v>
      </c>
      <c r="E182" s="205" t="s">
        <v>66</v>
      </c>
      <c r="F182" s="205">
        <v>0.21</v>
      </c>
      <c r="G182" s="206">
        <v>23915</v>
      </c>
      <c r="H182" s="206">
        <f>+ROUND(F182*G182,0)</f>
        <v>5022</v>
      </c>
    </row>
    <row r="183" spans="1:10" s="106" customFormat="1">
      <c r="A183" s="205" t="s">
        <v>197</v>
      </c>
      <c r="B183" s="205" t="s">
        <v>199</v>
      </c>
      <c r="C183" s="205" t="s">
        <v>200</v>
      </c>
      <c r="D183" s="205" t="s">
        <v>69</v>
      </c>
      <c r="E183" s="205" t="s">
        <v>106</v>
      </c>
      <c r="F183" s="205">
        <v>0.02</v>
      </c>
      <c r="G183" s="206">
        <v>63233</v>
      </c>
      <c r="H183" s="206">
        <f>+ROUND(F183*G183,0)</f>
        <v>1265</v>
      </c>
    </row>
    <row r="184" spans="1:10" s="106" customFormat="1">
      <c r="A184" s="205" t="s">
        <v>197</v>
      </c>
      <c r="B184" s="205" t="s">
        <v>71</v>
      </c>
      <c r="C184" s="205" t="s">
        <v>72</v>
      </c>
      <c r="D184" s="205" t="s">
        <v>73</v>
      </c>
      <c r="E184" s="205" t="s">
        <v>74</v>
      </c>
      <c r="F184" s="205">
        <v>0.21</v>
      </c>
      <c r="G184" s="206">
        <v>3311</v>
      </c>
      <c r="H184" s="206">
        <f>+ROUND(F184*G184,0)</f>
        <v>695</v>
      </c>
    </row>
    <row r="185" spans="1:10" s="106" customFormat="1">
      <c r="A185" s="205" t="s">
        <v>197</v>
      </c>
      <c r="B185" s="205" t="s">
        <v>75</v>
      </c>
      <c r="C185" s="205" t="s">
        <v>76</v>
      </c>
      <c r="D185" s="205" t="s">
        <v>77</v>
      </c>
      <c r="E185" s="205" t="s">
        <v>74</v>
      </c>
      <c r="F185" s="205">
        <v>0.44700000000000001</v>
      </c>
      <c r="G185" s="206">
        <v>1733</v>
      </c>
      <c r="H185" s="206">
        <f>+ROUND(F185*G185,0)</f>
        <v>775</v>
      </c>
    </row>
    <row r="187" spans="1:10" s="106" customFormat="1" ht="32.25" customHeight="1">
      <c r="A187" s="203" t="s">
        <v>201</v>
      </c>
      <c r="B187" s="203" t="s">
        <v>59</v>
      </c>
      <c r="C187" s="208" t="s">
        <v>202</v>
      </c>
      <c r="D187" s="203" t="s">
        <v>61</v>
      </c>
      <c r="E187" s="203" t="s">
        <v>188</v>
      </c>
      <c r="F187" s="203"/>
      <c r="G187" s="204"/>
      <c r="H187" s="204">
        <f>SUM(H188:H192)</f>
        <v>8660</v>
      </c>
      <c r="I187" s="147">
        <f>+AIU!$G$25</f>
        <v>1.4255</v>
      </c>
      <c r="J187" s="104">
        <f>ROUND(H187*I187,0)</f>
        <v>12345</v>
      </c>
    </row>
    <row r="188" spans="1:10" s="106" customFormat="1">
      <c r="A188" s="205" t="s">
        <v>201</v>
      </c>
      <c r="B188" s="205" t="s">
        <v>63</v>
      </c>
      <c r="C188" s="205" t="s">
        <v>64</v>
      </c>
      <c r="D188" s="205" t="s">
        <v>65</v>
      </c>
      <c r="E188" s="205" t="s">
        <v>66</v>
      </c>
      <c r="F188" s="205">
        <v>0.12</v>
      </c>
      <c r="G188" s="206">
        <v>23915</v>
      </c>
      <c r="H188" s="206">
        <f>+ROUND(F188*G188,0)</f>
        <v>2870</v>
      </c>
    </row>
    <row r="189" spans="1:10" s="106" customFormat="1">
      <c r="A189" s="205" t="s">
        <v>201</v>
      </c>
      <c r="B189" s="205" t="s">
        <v>104</v>
      </c>
      <c r="C189" s="205" t="s">
        <v>105</v>
      </c>
      <c r="D189" s="205" t="s">
        <v>69</v>
      </c>
      <c r="E189" s="205" t="s">
        <v>106</v>
      </c>
      <c r="F189" s="205">
        <v>5.9999999999999995E-4</v>
      </c>
      <c r="G189" s="206">
        <v>171308</v>
      </c>
      <c r="H189" s="206">
        <f>+ROUND(F189*G189,0)</f>
        <v>103</v>
      </c>
    </row>
    <row r="190" spans="1:10" s="106" customFormat="1">
      <c r="A190" s="205" t="s">
        <v>201</v>
      </c>
      <c r="B190" s="205" t="s">
        <v>71</v>
      </c>
      <c r="C190" s="205" t="s">
        <v>72</v>
      </c>
      <c r="D190" s="205" t="s">
        <v>73</v>
      </c>
      <c r="E190" s="205" t="s">
        <v>74</v>
      </c>
      <c r="F190" s="205">
        <v>0.12</v>
      </c>
      <c r="G190" s="206">
        <v>3311</v>
      </c>
      <c r="H190" s="206">
        <f>+ROUND(F190*G190,0)</f>
        <v>397</v>
      </c>
    </row>
    <row r="191" spans="1:10" s="106" customFormat="1">
      <c r="A191" s="205" t="s">
        <v>201</v>
      </c>
      <c r="B191" s="205" t="s">
        <v>75</v>
      </c>
      <c r="C191" s="205" t="s">
        <v>76</v>
      </c>
      <c r="D191" s="205" t="s">
        <v>77</v>
      </c>
      <c r="E191" s="205" t="s">
        <v>74</v>
      </c>
      <c r="F191" s="205">
        <v>0.2</v>
      </c>
      <c r="G191" s="206">
        <v>1733</v>
      </c>
      <c r="H191" s="206">
        <f>+ROUND(F191*G191,0)</f>
        <v>347</v>
      </c>
    </row>
    <row r="192" spans="1:10" s="106" customFormat="1">
      <c r="A192" s="205" t="s">
        <v>201</v>
      </c>
      <c r="B192" s="205" t="s">
        <v>203</v>
      </c>
      <c r="C192" s="205" t="s">
        <v>204</v>
      </c>
      <c r="D192" s="205" t="s">
        <v>77</v>
      </c>
      <c r="E192" s="205" t="s">
        <v>185</v>
      </c>
      <c r="F192" s="205">
        <v>0.75</v>
      </c>
      <c r="G192" s="206">
        <v>6591</v>
      </c>
      <c r="H192" s="206">
        <f>+ROUND(F192*G192,0)</f>
        <v>4943</v>
      </c>
    </row>
    <row r="194" spans="1:10" s="106" customFormat="1">
      <c r="A194" s="203" t="s">
        <v>205</v>
      </c>
      <c r="B194" s="203" t="s">
        <v>59</v>
      </c>
      <c r="C194" s="203" t="s">
        <v>206</v>
      </c>
      <c r="D194" s="203" t="s">
        <v>61</v>
      </c>
      <c r="E194" s="203" t="s">
        <v>188</v>
      </c>
      <c r="F194" s="203"/>
      <c r="G194" s="204"/>
      <c r="H194" s="204">
        <f>SUM(H195:H197)</f>
        <v>16098</v>
      </c>
      <c r="I194" s="147">
        <f>+AIU!$G$25</f>
        <v>1.4255</v>
      </c>
      <c r="J194" s="104">
        <f>ROUND(H194*I194,0)</f>
        <v>22948</v>
      </c>
    </row>
    <row r="195" spans="1:10" s="106" customFormat="1">
      <c r="A195" s="205" t="s">
        <v>205</v>
      </c>
      <c r="B195" s="205" t="s">
        <v>63</v>
      </c>
      <c r="C195" s="205" t="s">
        <v>64</v>
      </c>
      <c r="D195" s="205" t="s">
        <v>65</v>
      </c>
      <c r="E195" s="205" t="s">
        <v>66</v>
      </c>
      <c r="F195" s="205">
        <v>0.3</v>
      </c>
      <c r="G195" s="218">
        <v>23915</v>
      </c>
      <c r="H195" s="218">
        <f>+ROUND(F195*G195,0)</f>
        <v>7175</v>
      </c>
    </row>
    <row r="196" spans="1:10" s="106" customFormat="1">
      <c r="A196" s="205" t="s">
        <v>205</v>
      </c>
      <c r="B196" s="205" t="s">
        <v>71</v>
      </c>
      <c r="C196" s="205" t="s">
        <v>72</v>
      </c>
      <c r="D196" s="205" t="s">
        <v>73</v>
      </c>
      <c r="E196" s="205" t="s">
        <v>74</v>
      </c>
      <c r="F196" s="205">
        <v>0.5</v>
      </c>
      <c r="G196" s="218">
        <v>3311</v>
      </c>
      <c r="H196" s="218">
        <f>+ROUND(F196*G196,0)</f>
        <v>1656</v>
      </c>
    </row>
    <row r="197" spans="1:10" s="106" customFormat="1">
      <c r="A197" s="205" t="s">
        <v>205</v>
      </c>
      <c r="B197" s="205" t="s">
        <v>207</v>
      </c>
      <c r="C197" s="205" t="s">
        <v>208</v>
      </c>
      <c r="D197" s="205" t="s">
        <v>77</v>
      </c>
      <c r="E197" s="205" t="s">
        <v>209</v>
      </c>
      <c r="F197" s="205">
        <v>1.3</v>
      </c>
      <c r="G197" s="218">
        <v>5590</v>
      </c>
      <c r="H197" s="218">
        <f>+ROUND(F197*G197,0)</f>
        <v>7267</v>
      </c>
    </row>
    <row r="198" spans="1:10">
      <c r="A198" s="105"/>
      <c r="B198" s="105"/>
      <c r="C198" s="106"/>
      <c r="D198" s="106"/>
      <c r="E198" s="106"/>
      <c r="F198" s="106"/>
      <c r="G198" s="157"/>
      <c r="H198" s="157"/>
    </row>
    <row r="199" spans="1:10" s="106" customFormat="1">
      <c r="A199" s="203" t="s">
        <v>210</v>
      </c>
      <c r="B199" s="203" t="s">
        <v>59</v>
      </c>
      <c r="C199" s="203" t="s">
        <v>211</v>
      </c>
      <c r="D199" s="203" t="s">
        <v>61</v>
      </c>
      <c r="E199" s="203" t="s">
        <v>209</v>
      </c>
      <c r="F199" s="203"/>
      <c r="G199" s="204"/>
      <c r="H199" s="204">
        <f>+SUM(H200:H203)</f>
        <v>14067</v>
      </c>
      <c r="I199" s="147">
        <f>+AIU!$G$25</f>
        <v>1.4255</v>
      </c>
      <c r="J199" s="104">
        <f>ROUND(H199*I199,0)</f>
        <v>20053</v>
      </c>
    </row>
    <row r="200" spans="1:10" s="106" customFormat="1">
      <c r="A200" s="205" t="s">
        <v>210</v>
      </c>
      <c r="B200" s="205" t="s">
        <v>63</v>
      </c>
      <c r="C200" s="205" t="s">
        <v>64</v>
      </c>
      <c r="D200" s="205" t="s">
        <v>65</v>
      </c>
      <c r="E200" s="205" t="s">
        <v>66</v>
      </c>
      <c r="F200" s="205">
        <v>0.2</v>
      </c>
      <c r="G200" s="218">
        <v>23915</v>
      </c>
      <c r="H200" s="218">
        <f>+ROUND(F200*G200,0)</f>
        <v>4783</v>
      </c>
    </row>
    <row r="201" spans="1:10" s="106" customFormat="1">
      <c r="A201" s="205" t="s">
        <v>210</v>
      </c>
      <c r="B201" s="205" t="s">
        <v>71</v>
      </c>
      <c r="C201" s="205" t="s">
        <v>72</v>
      </c>
      <c r="D201" s="205" t="s">
        <v>73</v>
      </c>
      <c r="E201" s="205" t="s">
        <v>74</v>
      </c>
      <c r="F201" s="205">
        <v>0.7</v>
      </c>
      <c r="G201" s="218">
        <v>3311</v>
      </c>
      <c r="H201" s="218">
        <f>+ROUND(F201*G201,0)</f>
        <v>2318</v>
      </c>
    </row>
    <row r="202" spans="1:10" s="106" customFormat="1">
      <c r="A202" s="205" t="s">
        <v>210</v>
      </c>
      <c r="B202" s="205" t="s">
        <v>212</v>
      </c>
      <c r="C202" s="205" t="s">
        <v>213</v>
      </c>
      <c r="D202" s="205" t="s">
        <v>77</v>
      </c>
      <c r="E202" s="205" t="s">
        <v>209</v>
      </c>
      <c r="F202" s="205">
        <v>1.05</v>
      </c>
      <c r="G202" s="218">
        <v>6100</v>
      </c>
      <c r="H202" s="218">
        <f>+ROUND(F202*G202,0)</f>
        <v>6405</v>
      </c>
    </row>
    <row r="203" spans="1:10" s="106" customFormat="1">
      <c r="A203" s="205" t="s">
        <v>210</v>
      </c>
      <c r="B203" s="205" t="s">
        <v>214</v>
      </c>
      <c r="C203" s="205" t="s">
        <v>215</v>
      </c>
      <c r="D203" s="205" t="s">
        <v>77</v>
      </c>
      <c r="E203" s="205" t="s">
        <v>74</v>
      </c>
      <c r="F203" s="205">
        <v>0.05</v>
      </c>
      <c r="G203" s="218">
        <v>11224</v>
      </c>
      <c r="H203" s="218">
        <f>+ROUND(F203*G203,0)</f>
        <v>561</v>
      </c>
    </row>
    <row r="204" spans="1:10">
      <c r="A204" s="105"/>
      <c r="B204" s="105"/>
      <c r="C204" s="106"/>
      <c r="D204" s="106"/>
      <c r="E204" s="106"/>
      <c r="F204" s="106"/>
      <c r="G204" s="152"/>
      <c r="H204" s="152"/>
    </row>
    <row r="205" spans="1:10" s="148" customFormat="1">
      <c r="A205" s="203" t="s">
        <v>216</v>
      </c>
      <c r="B205" s="203" t="s">
        <v>59</v>
      </c>
      <c r="C205" s="203" t="s">
        <v>217</v>
      </c>
      <c r="D205" s="203" t="s">
        <v>61</v>
      </c>
      <c r="E205" s="203" t="s">
        <v>209</v>
      </c>
      <c r="F205" s="203"/>
      <c r="G205" s="204"/>
      <c r="H205" s="204">
        <f>SUM(H206:H210)</f>
        <v>8144</v>
      </c>
      <c r="I205" s="147">
        <f>+AIU!$G$25</f>
        <v>1.4255</v>
      </c>
      <c r="J205" s="104">
        <f>ROUND(H205*I205,0)</f>
        <v>11609</v>
      </c>
    </row>
    <row r="206" spans="1:10" s="106" customFormat="1">
      <c r="A206" s="205" t="s">
        <v>216</v>
      </c>
      <c r="B206" s="205" t="s">
        <v>71</v>
      </c>
      <c r="C206" s="205" t="s">
        <v>218</v>
      </c>
      <c r="D206" s="205" t="s">
        <v>73</v>
      </c>
      <c r="E206" s="205" t="s">
        <v>219</v>
      </c>
      <c r="F206" s="205">
        <v>0.05</v>
      </c>
      <c r="G206" s="218">
        <v>3311</v>
      </c>
      <c r="H206" s="218">
        <f t="shared" ref="H206:H210" si="15">+ROUND(F206*G206,0)</f>
        <v>166</v>
      </c>
    </row>
    <row r="207" spans="1:10" s="106" customFormat="1">
      <c r="A207" s="205" t="s">
        <v>216</v>
      </c>
      <c r="B207" s="205" t="s">
        <v>63</v>
      </c>
      <c r="C207" s="205" t="s">
        <v>64</v>
      </c>
      <c r="D207" s="205" t="s">
        <v>220</v>
      </c>
      <c r="E207" s="205" t="s">
        <v>221</v>
      </c>
      <c r="F207" s="205">
        <v>5.5E-2</v>
      </c>
      <c r="G207" s="218">
        <v>23915</v>
      </c>
      <c r="H207" s="218">
        <f t="shared" si="15"/>
        <v>1315</v>
      </c>
    </row>
    <row r="208" spans="1:10" s="106" customFormat="1">
      <c r="A208" s="205" t="s">
        <v>216</v>
      </c>
      <c r="B208" s="205" t="s">
        <v>222</v>
      </c>
      <c r="C208" s="205" t="s">
        <v>208</v>
      </c>
      <c r="D208" s="205" t="s">
        <v>77</v>
      </c>
      <c r="E208" s="205" t="s">
        <v>223</v>
      </c>
      <c r="F208" s="205">
        <v>1.05</v>
      </c>
      <c r="G208" s="218">
        <v>5590</v>
      </c>
      <c r="H208" s="218">
        <f t="shared" si="15"/>
        <v>5870</v>
      </c>
    </row>
    <row r="209" spans="1:10">
      <c r="A209" s="220" t="s">
        <v>216</v>
      </c>
      <c r="B209" s="220" t="s">
        <v>224</v>
      </c>
      <c r="C209" s="207" t="s">
        <v>225</v>
      </c>
      <c r="D209" s="207" t="s">
        <v>77</v>
      </c>
      <c r="E209" s="207" t="s">
        <v>223</v>
      </c>
      <c r="F209" s="207">
        <v>0.03</v>
      </c>
      <c r="G209" s="209">
        <v>5879</v>
      </c>
      <c r="H209" s="209">
        <f t="shared" si="15"/>
        <v>176</v>
      </c>
    </row>
    <row r="210" spans="1:10" s="106" customFormat="1">
      <c r="A210" s="207" t="s">
        <v>216</v>
      </c>
      <c r="B210" s="207" t="s">
        <v>226</v>
      </c>
      <c r="C210" s="207" t="s">
        <v>105</v>
      </c>
      <c r="D210" s="207" t="s">
        <v>227</v>
      </c>
      <c r="E210" s="207" t="s">
        <v>228</v>
      </c>
      <c r="F210" s="207">
        <v>3.5999999999999999E-3</v>
      </c>
      <c r="G210" s="209">
        <v>171308</v>
      </c>
      <c r="H210" s="209">
        <f t="shared" si="15"/>
        <v>617</v>
      </c>
    </row>
    <row r="211" spans="1:10">
      <c r="A211" s="107"/>
      <c r="B211" s="108"/>
      <c r="C211" s="109"/>
      <c r="D211" s="109"/>
      <c r="E211" s="109"/>
      <c r="F211" s="109"/>
      <c r="G211" s="154"/>
      <c r="H211" s="155"/>
    </row>
    <row r="212" spans="1:10" s="106" customFormat="1" ht="34.5" customHeight="1">
      <c r="A212" s="203" t="s">
        <v>229</v>
      </c>
      <c r="B212" s="203" t="s">
        <v>59</v>
      </c>
      <c r="C212" s="208" t="s">
        <v>230</v>
      </c>
      <c r="D212" s="203" t="s">
        <v>61</v>
      </c>
      <c r="E212" s="203" t="s">
        <v>74</v>
      </c>
      <c r="F212" s="203"/>
      <c r="G212" s="204"/>
      <c r="H212" s="204">
        <f>SUM(H213:H220)</f>
        <v>756146</v>
      </c>
      <c r="I212" s="147">
        <f>+AIU!$G$25</f>
        <v>1.4255</v>
      </c>
      <c r="J212" s="104">
        <f>ROUND(H212*I212,0)</f>
        <v>1077886</v>
      </c>
    </row>
    <row r="213" spans="1:10" s="106" customFormat="1">
      <c r="A213" s="207" t="s">
        <v>229</v>
      </c>
      <c r="B213" s="205" t="s">
        <v>177</v>
      </c>
      <c r="C213" s="205" t="s">
        <v>178</v>
      </c>
      <c r="D213" s="205" t="s">
        <v>126</v>
      </c>
      <c r="E213" s="205" t="s">
        <v>80</v>
      </c>
      <c r="F213" s="205">
        <v>0.59899999999999998</v>
      </c>
      <c r="G213" s="206">
        <v>554104</v>
      </c>
      <c r="H213" s="206">
        <f t="shared" ref="H213:H220" si="16">+ROUND(F213*G213,0)</f>
        <v>331908</v>
      </c>
    </row>
    <row r="214" spans="1:10" s="106" customFormat="1">
      <c r="A214" s="207" t="s">
        <v>229</v>
      </c>
      <c r="B214" s="205" t="s">
        <v>231</v>
      </c>
      <c r="C214" s="205" t="s">
        <v>232</v>
      </c>
      <c r="D214" s="205" t="s">
        <v>65</v>
      </c>
      <c r="E214" s="205" t="s">
        <v>66</v>
      </c>
      <c r="F214" s="205">
        <v>5</v>
      </c>
      <c r="G214" s="206">
        <v>56651</v>
      </c>
      <c r="H214" s="206">
        <f t="shared" si="16"/>
        <v>283255</v>
      </c>
    </row>
    <row r="215" spans="1:10" s="106" customFormat="1">
      <c r="A215" s="207" t="s">
        <v>229</v>
      </c>
      <c r="B215" s="205" t="s">
        <v>233</v>
      </c>
      <c r="C215" s="205" t="s">
        <v>234</v>
      </c>
      <c r="D215" s="205" t="s">
        <v>69</v>
      </c>
      <c r="E215" s="205" t="s">
        <v>74</v>
      </c>
      <c r="F215" s="205">
        <v>4.3499999999999996</v>
      </c>
      <c r="G215" s="206">
        <v>1712</v>
      </c>
      <c r="H215" s="206">
        <f t="shared" si="16"/>
        <v>7447</v>
      </c>
    </row>
    <row r="216" spans="1:10" s="106" customFormat="1">
      <c r="A216" s="207" t="s">
        <v>229</v>
      </c>
      <c r="B216" s="205" t="s">
        <v>104</v>
      </c>
      <c r="C216" s="205" t="s">
        <v>105</v>
      </c>
      <c r="D216" s="205" t="s">
        <v>69</v>
      </c>
      <c r="E216" s="205" t="s">
        <v>106</v>
      </c>
      <c r="F216" s="205">
        <v>0.27760000000000001</v>
      </c>
      <c r="G216" s="206">
        <v>171308</v>
      </c>
      <c r="H216" s="206">
        <f t="shared" si="16"/>
        <v>47555</v>
      </c>
    </row>
    <row r="217" spans="1:10" s="106" customFormat="1">
      <c r="A217" s="207" t="s">
        <v>229</v>
      </c>
      <c r="B217" s="205" t="s">
        <v>71</v>
      </c>
      <c r="C217" s="205" t="s">
        <v>72</v>
      </c>
      <c r="D217" s="205" t="s">
        <v>73</v>
      </c>
      <c r="E217" s="205" t="s">
        <v>74</v>
      </c>
      <c r="F217" s="205">
        <v>0.35</v>
      </c>
      <c r="G217" s="206">
        <v>3311</v>
      </c>
      <c r="H217" s="206">
        <f t="shared" si="16"/>
        <v>1159</v>
      </c>
    </row>
    <row r="218" spans="1:10" s="106" customFormat="1">
      <c r="A218" s="207" t="s">
        <v>229</v>
      </c>
      <c r="B218" s="205" t="s">
        <v>75</v>
      </c>
      <c r="C218" s="205" t="s">
        <v>76</v>
      </c>
      <c r="D218" s="205" t="s">
        <v>77</v>
      </c>
      <c r="E218" s="205" t="s">
        <v>74</v>
      </c>
      <c r="F218" s="205">
        <v>10</v>
      </c>
      <c r="G218" s="206">
        <v>1733</v>
      </c>
      <c r="H218" s="206">
        <f t="shared" si="16"/>
        <v>17330</v>
      </c>
    </row>
    <row r="219" spans="1:10" s="106" customFormat="1">
      <c r="A219" s="207" t="s">
        <v>229</v>
      </c>
      <c r="B219" s="205" t="s">
        <v>235</v>
      </c>
      <c r="C219" s="205" t="s">
        <v>236</v>
      </c>
      <c r="D219" s="205" t="s">
        <v>77</v>
      </c>
      <c r="E219" s="205" t="s">
        <v>80</v>
      </c>
      <c r="F219" s="205">
        <v>0.15429999999999999</v>
      </c>
      <c r="G219" s="206">
        <v>2669</v>
      </c>
      <c r="H219" s="206">
        <f t="shared" si="16"/>
        <v>412</v>
      </c>
    </row>
    <row r="220" spans="1:10" s="106" customFormat="1">
      <c r="A220" s="207" t="s">
        <v>229</v>
      </c>
      <c r="B220" s="205" t="s">
        <v>207</v>
      </c>
      <c r="C220" s="205" t="s">
        <v>208</v>
      </c>
      <c r="D220" s="205" t="s">
        <v>77</v>
      </c>
      <c r="E220" s="205" t="s">
        <v>209</v>
      </c>
      <c r="F220" s="205">
        <v>12</v>
      </c>
      <c r="G220" s="206">
        <v>5590</v>
      </c>
      <c r="H220" s="206">
        <f t="shared" si="16"/>
        <v>67080</v>
      </c>
    </row>
    <row r="221" spans="1:10">
      <c r="A221" s="105"/>
      <c r="B221" s="105"/>
      <c r="C221" s="106"/>
      <c r="D221" s="106"/>
      <c r="E221" s="106"/>
      <c r="F221" s="106"/>
      <c r="G221" s="152"/>
      <c r="H221" s="152"/>
    </row>
    <row r="222" spans="1:10" s="106" customFormat="1">
      <c r="A222" s="203" t="s">
        <v>237</v>
      </c>
      <c r="B222" s="203" t="s">
        <v>59</v>
      </c>
      <c r="C222" s="203" t="s">
        <v>238</v>
      </c>
      <c r="D222" s="203" t="s">
        <v>61</v>
      </c>
      <c r="E222" s="203" t="s">
        <v>74</v>
      </c>
      <c r="F222" s="203"/>
      <c r="G222" s="204"/>
      <c r="H222" s="204">
        <f>SUM(H223:H225)</f>
        <v>103391</v>
      </c>
      <c r="I222" s="147">
        <f>+AIU!$G$25</f>
        <v>1.4255</v>
      </c>
      <c r="J222" s="104">
        <f>ROUND(H222*I222,0)</f>
        <v>147384</v>
      </c>
    </row>
    <row r="223" spans="1:10" s="106" customFormat="1">
      <c r="A223" s="205" t="s">
        <v>237</v>
      </c>
      <c r="B223" s="205" t="s">
        <v>239</v>
      </c>
      <c r="C223" s="205" t="s">
        <v>240</v>
      </c>
      <c r="D223" s="205" t="s">
        <v>65</v>
      </c>
      <c r="E223" s="205" t="s">
        <v>66</v>
      </c>
      <c r="F223" s="205">
        <v>1.8</v>
      </c>
      <c r="G223" s="206">
        <v>56651</v>
      </c>
      <c r="H223" s="206">
        <f>+ROUND(F223*G223,0)</f>
        <v>101972</v>
      </c>
    </row>
    <row r="224" spans="1:10" s="106" customFormat="1">
      <c r="A224" s="205" t="s">
        <v>237</v>
      </c>
      <c r="B224" s="205" t="s">
        <v>71</v>
      </c>
      <c r="C224" s="205" t="s">
        <v>72</v>
      </c>
      <c r="D224" s="205" t="s">
        <v>73</v>
      </c>
      <c r="E224" s="205" t="s">
        <v>74</v>
      </c>
      <c r="F224" s="205">
        <v>0.01</v>
      </c>
      <c r="G224" s="206">
        <v>3311</v>
      </c>
      <c r="H224" s="206">
        <f>+ROUND(F224*G224,0)</f>
        <v>33</v>
      </c>
    </row>
    <row r="225" spans="1:10" s="106" customFormat="1">
      <c r="A225" s="205" t="s">
        <v>237</v>
      </c>
      <c r="B225" s="205" t="s">
        <v>75</v>
      </c>
      <c r="C225" s="205" t="s">
        <v>76</v>
      </c>
      <c r="D225" s="205" t="s">
        <v>77</v>
      </c>
      <c r="E225" s="205" t="s">
        <v>74</v>
      </c>
      <c r="F225" s="205">
        <v>0.8</v>
      </c>
      <c r="G225" s="206">
        <v>1733</v>
      </c>
      <c r="H225" s="206">
        <f>+ROUND(F225*G225,0)</f>
        <v>1386</v>
      </c>
    </row>
    <row r="226" spans="1:10">
      <c r="A226" s="105"/>
      <c r="B226" s="105"/>
      <c r="C226" s="106"/>
      <c r="D226" s="106"/>
      <c r="E226" s="106"/>
      <c r="F226" s="106"/>
      <c r="G226" s="152"/>
      <c r="H226" s="152"/>
    </row>
    <row r="227" spans="1:10" s="106" customFormat="1" ht="28.9" customHeight="1">
      <c r="A227" s="203" t="s">
        <v>241</v>
      </c>
      <c r="B227" s="203" t="s">
        <v>59</v>
      </c>
      <c r="C227" s="208" t="s">
        <v>242</v>
      </c>
      <c r="D227" s="203" t="s">
        <v>61</v>
      </c>
      <c r="E227" s="203" t="s">
        <v>80</v>
      </c>
      <c r="F227" s="203"/>
      <c r="G227" s="204"/>
      <c r="H227" s="204">
        <f>SUM(H228:H232)</f>
        <v>110000</v>
      </c>
      <c r="I227" s="147">
        <f>+AIU!$G$25</f>
        <v>1.4255</v>
      </c>
      <c r="J227" s="104">
        <f>ROUND(H227*I227,0)</f>
        <v>156805</v>
      </c>
    </row>
    <row r="228" spans="1:10" s="106" customFormat="1">
      <c r="A228" s="205" t="s">
        <v>241</v>
      </c>
      <c r="B228" s="205" t="s">
        <v>63</v>
      </c>
      <c r="C228" s="205" t="s">
        <v>64</v>
      </c>
      <c r="D228" s="205" t="s">
        <v>65</v>
      </c>
      <c r="E228" s="205" t="s">
        <v>66</v>
      </c>
      <c r="F228" s="205">
        <v>0.3</v>
      </c>
      <c r="G228" s="206">
        <v>23915</v>
      </c>
      <c r="H228" s="206">
        <f>+ROUND(F228*G228,0)</f>
        <v>7175</v>
      </c>
      <c r="J228" s="104"/>
    </row>
    <row r="229" spans="1:10" s="106" customFormat="1">
      <c r="A229" s="205" t="s">
        <v>241</v>
      </c>
      <c r="B229" s="205" t="s">
        <v>104</v>
      </c>
      <c r="C229" s="205" t="s">
        <v>105</v>
      </c>
      <c r="D229" s="205" t="s">
        <v>69</v>
      </c>
      <c r="E229" s="205" t="s">
        <v>106</v>
      </c>
      <c r="F229" s="205">
        <v>1.09E-2</v>
      </c>
      <c r="G229" s="206">
        <v>171308</v>
      </c>
      <c r="H229" s="206">
        <f>+ROUND(F229*G229,0)</f>
        <v>1867</v>
      </c>
      <c r="J229" s="104"/>
    </row>
    <row r="230" spans="1:10" s="106" customFormat="1">
      <c r="A230" s="205" t="s">
        <v>241</v>
      </c>
      <c r="B230" s="205" t="s">
        <v>71</v>
      </c>
      <c r="C230" s="205" t="s">
        <v>72</v>
      </c>
      <c r="D230" s="205" t="s">
        <v>73</v>
      </c>
      <c r="E230" s="205" t="s">
        <v>74</v>
      </c>
      <c r="F230" s="205">
        <v>0.3</v>
      </c>
      <c r="G230" s="206">
        <v>3311</v>
      </c>
      <c r="H230" s="206">
        <f>+ROUND(F230*G230,0)</f>
        <v>993</v>
      </c>
      <c r="J230" s="104"/>
    </row>
    <row r="231" spans="1:10" s="106" customFormat="1">
      <c r="A231" s="205" t="s">
        <v>241</v>
      </c>
      <c r="B231" s="205" t="s">
        <v>75</v>
      </c>
      <c r="C231" s="205" t="s">
        <v>76</v>
      </c>
      <c r="D231" s="205" t="s">
        <v>77</v>
      </c>
      <c r="E231" s="205" t="s">
        <v>74</v>
      </c>
      <c r="F231" s="205">
        <v>0.2</v>
      </c>
      <c r="G231" s="206">
        <v>1733</v>
      </c>
      <c r="H231" s="206">
        <f>+ROUND(F231*G231,0)</f>
        <v>347</v>
      </c>
      <c r="J231" s="104"/>
    </row>
    <row r="232" spans="1:10" s="106" customFormat="1">
      <c r="A232" s="205" t="s">
        <v>241</v>
      </c>
      <c r="B232" s="205" t="s">
        <v>243</v>
      </c>
      <c r="C232" s="205" t="s">
        <v>244</v>
      </c>
      <c r="D232" s="205" t="s">
        <v>77</v>
      </c>
      <c r="E232" s="205" t="s">
        <v>74</v>
      </c>
      <c r="F232" s="205">
        <v>1.24</v>
      </c>
      <c r="G232" s="206">
        <v>80337</v>
      </c>
      <c r="H232" s="206">
        <f>+ROUND(F232*G232,0)</f>
        <v>99618</v>
      </c>
      <c r="J232" s="104"/>
    </row>
    <row r="233" spans="1:10" s="106" customFormat="1">
      <c r="A233" s="101"/>
      <c r="B233" s="101"/>
      <c r="C233" s="101"/>
      <c r="D233" s="101"/>
      <c r="E233" s="101"/>
      <c r="F233" s="101"/>
      <c r="G233" s="389"/>
      <c r="H233" s="389"/>
      <c r="J233" s="104"/>
    </row>
    <row r="234" spans="1:10" s="106" customFormat="1" ht="24.75" customHeight="1">
      <c r="A234" s="390" t="s">
        <v>340</v>
      </c>
      <c r="B234" s="390" t="s">
        <v>59</v>
      </c>
      <c r="C234" s="391" t="s">
        <v>341</v>
      </c>
      <c r="D234" s="390" t="s">
        <v>61</v>
      </c>
      <c r="E234" s="390" t="s">
        <v>80</v>
      </c>
      <c r="F234" s="390"/>
      <c r="G234" s="392"/>
      <c r="H234" s="392">
        <v>779090</v>
      </c>
      <c r="I234" s="147">
        <f>+AIU!$G$25</f>
        <v>1.4255</v>
      </c>
      <c r="J234" s="104">
        <f t="shared" ref="J234:J251" si="17">ROUND(H234*I234,0)</f>
        <v>1110593</v>
      </c>
    </row>
    <row r="235" spans="1:10" s="106" customFormat="1">
      <c r="A235" s="393" t="s">
        <v>340</v>
      </c>
      <c r="B235" s="393" t="s">
        <v>177</v>
      </c>
      <c r="C235" s="393" t="s">
        <v>178</v>
      </c>
      <c r="D235" s="393" t="s">
        <v>126</v>
      </c>
      <c r="E235" s="393" t="s">
        <v>80</v>
      </c>
      <c r="F235" s="393">
        <v>1.05</v>
      </c>
      <c r="G235" s="393">
        <f>+VLOOKUP(B235,[112]Insumos!$A$2:$F$5000,5,FALSE)</f>
        <v>554104</v>
      </c>
      <c r="H235" s="393">
        <f t="shared" ref="H235:H239" si="18">+ROUND(F235*G235,0)</f>
        <v>581809</v>
      </c>
      <c r="J235" s="104"/>
    </row>
    <row r="236" spans="1:10" s="106" customFormat="1">
      <c r="A236" s="393" t="s">
        <v>340</v>
      </c>
      <c r="B236" s="393" t="s">
        <v>342</v>
      </c>
      <c r="C236" s="393" t="s">
        <v>343</v>
      </c>
      <c r="D236" s="393" t="s">
        <v>65</v>
      </c>
      <c r="E236" s="393" t="s">
        <v>66</v>
      </c>
      <c r="F236" s="393">
        <v>2.6</v>
      </c>
      <c r="G236" s="393">
        <f>+VLOOKUP(B236,[112]Insumos!$A$2:$F$5000,5,FALSE)</f>
        <v>60707</v>
      </c>
      <c r="H236" s="393">
        <f t="shared" si="18"/>
        <v>157838</v>
      </c>
      <c r="J236" s="104"/>
    </row>
    <row r="237" spans="1:10" s="106" customFormat="1">
      <c r="A237" s="393" t="s">
        <v>340</v>
      </c>
      <c r="B237" s="393" t="s">
        <v>129</v>
      </c>
      <c r="C237" s="393" t="s">
        <v>130</v>
      </c>
      <c r="D237" s="393" t="s">
        <v>69</v>
      </c>
      <c r="E237" s="393" t="s">
        <v>106</v>
      </c>
      <c r="F237" s="393">
        <v>0.12</v>
      </c>
      <c r="G237" s="393">
        <f>+VLOOKUP(B237,[112]Insumos!$A$2:$F$5000,5,FALSE)</f>
        <v>67825</v>
      </c>
      <c r="H237" s="393">
        <f t="shared" si="18"/>
        <v>8139</v>
      </c>
      <c r="J237" s="104"/>
    </row>
    <row r="238" spans="1:10" s="106" customFormat="1">
      <c r="A238" s="393" t="s">
        <v>340</v>
      </c>
      <c r="B238" s="393" t="s">
        <v>71</v>
      </c>
      <c r="C238" s="393" t="s">
        <v>72</v>
      </c>
      <c r="D238" s="393" t="s">
        <v>73</v>
      </c>
      <c r="E238" s="393" t="s">
        <v>74</v>
      </c>
      <c r="F238" s="393">
        <v>6</v>
      </c>
      <c r="G238" s="393">
        <f>+VLOOKUP(B238,[112]Insumos!$A$2:$F$5000,5,FALSE)</f>
        <v>3311</v>
      </c>
      <c r="H238" s="393">
        <f t="shared" si="18"/>
        <v>19866</v>
      </c>
      <c r="J238" s="104"/>
    </row>
    <row r="239" spans="1:10" s="106" customFormat="1">
      <c r="A239" s="393" t="s">
        <v>340</v>
      </c>
      <c r="B239" s="393" t="s">
        <v>75</v>
      </c>
      <c r="C239" s="393" t="s">
        <v>76</v>
      </c>
      <c r="D239" s="393" t="s">
        <v>77</v>
      </c>
      <c r="E239" s="393" t="s">
        <v>74</v>
      </c>
      <c r="F239" s="393">
        <v>6.6</v>
      </c>
      <c r="G239" s="393">
        <f>+VLOOKUP(B239,[112]Insumos!$A$2:$F$5000,5,FALSE)</f>
        <v>1733</v>
      </c>
      <c r="H239" s="393">
        <f t="shared" si="18"/>
        <v>11438</v>
      </c>
      <c r="J239" s="104"/>
    </row>
    <row r="240" spans="1:10" s="106" customFormat="1">
      <c r="A240" s="101"/>
      <c r="B240" s="101"/>
      <c r="C240" s="101"/>
      <c r="D240" s="101"/>
      <c r="E240" s="101"/>
      <c r="F240" s="101"/>
      <c r="G240" s="389"/>
      <c r="H240" s="389"/>
      <c r="J240" s="104"/>
    </row>
    <row r="241" spans="1:10" s="106" customFormat="1" ht="27.75" customHeight="1">
      <c r="A241" s="203" t="s">
        <v>344</v>
      </c>
      <c r="B241" s="203" t="s">
        <v>59</v>
      </c>
      <c r="C241" s="208" t="s">
        <v>330</v>
      </c>
      <c r="D241" s="203" t="s">
        <v>61</v>
      </c>
      <c r="E241" s="203" t="s">
        <v>80</v>
      </c>
      <c r="F241" s="203"/>
      <c r="G241" s="204"/>
      <c r="H241" s="204">
        <v>763541</v>
      </c>
      <c r="I241" s="147">
        <f>+AIU!$G$25</f>
        <v>1.4255</v>
      </c>
      <c r="J241" s="104">
        <f t="shared" si="17"/>
        <v>1088428</v>
      </c>
    </row>
    <row r="242" spans="1:10" s="106" customFormat="1">
      <c r="A242" s="393" t="s">
        <v>344</v>
      </c>
      <c r="B242" s="393" t="s">
        <v>177</v>
      </c>
      <c r="C242" s="393" t="s">
        <v>178</v>
      </c>
      <c r="D242" s="393" t="s">
        <v>126</v>
      </c>
      <c r="E242" s="393" t="s">
        <v>80</v>
      </c>
      <c r="F242" s="393">
        <v>1.05</v>
      </c>
      <c r="G242" s="393">
        <f>+VLOOKUP(B242,[112]Insumos!$A$2:$F$5000,5,FALSE)</f>
        <v>554104</v>
      </c>
      <c r="H242" s="393">
        <f t="shared" ref="H242:H245" si="19">+ROUND(F242*G242,0)</f>
        <v>581809</v>
      </c>
      <c r="J242" s="104"/>
    </row>
    <row r="243" spans="1:10" s="106" customFormat="1">
      <c r="A243" s="393" t="s">
        <v>344</v>
      </c>
      <c r="B243" s="393" t="s">
        <v>345</v>
      </c>
      <c r="C243" s="393" t="s">
        <v>346</v>
      </c>
      <c r="D243" s="393" t="s">
        <v>65</v>
      </c>
      <c r="E243" s="393" t="s">
        <v>66</v>
      </c>
      <c r="F243" s="393">
        <v>2.5</v>
      </c>
      <c r="G243" s="393">
        <f>+VLOOKUP(B243,[112]Insumos!$A$2:$F$5000,5,FALSE)</f>
        <v>69905</v>
      </c>
      <c r="H243" s="393">
        <f t="shared" si="19"/>
        <v>174763</v>
      </c>
      <c r="J243" s="104"/>
    </row>
    <row r="244" spans="1:10" s="106" customFormat="1">
      <c r="A244" s="393" t="s">
        <v>344</v>
      </c>
      <c r="B244" s="393" t="s">
        <v>71</v>
      </c>
      <c r="C244" s="393" t="s">
        <v>72</v>
      </c>
      <c r="D244" s="393" t="s">
        <v>73</v>
      </c>
      <c r="E244" s="393" t="s">
        <v>74</v>
      </c>
      <c r="F244" s="393">
        <v>2</v>
      </c>
      <c r="G244" s="393">
        <f>+VLOOKUP(B244,[112]Insumos!$A$2:$F$5000,5,FALSE)</f>
        <v>3311</v>
      </c>
      <c r="H244" s="393">
        <f t="shared" si="19"/>
        <v>6622</v>
      </c>
      <c r="J244" s="104"/>
    </row>
    <row r="245" spans="1:10" s="106" customFormat="1">
      <c r="A245" s="393" t="s">
        <v>344</v>
      </c>
      <c r="B245" s="393" t="s">
        <v>75</v>
      </c>
      <c r="C245" s="393" t="s">
        <v>76</v>
      </c>
      <c r="D245" s="393" t="s">
        <v>77</v>
      </c>
      <c r="E245" s="393" t="s">
        <v>74</v>
      </c>
      <c r="F245" s="393">
        <v>0.2</v>
      </c>
      <c r="G245" s="393">
        <f>+VLOOKUP(B245,[112]Insumos!$A$2:$F$5000,5,FALSE)</f>
        <v>1733</v>
      </c>
      <c r="H245" s="393">
        <f t="shared" si="19"/>
        <v>347</v>
      </c>
      <c r="J245" s="104"/>
    </row>
    <row r="246" spans="1:10" s="106" customFormat="1">
      <c r="A246" s="101"/>
      <c r="B246" s="101"/>
      <c r="C246" s="101"/>
      <c r="D246" s="101"/>
      <c r="E246" s="101"/>
      <c r="F246" s="101"/>
      <c r="G246" s="389"/>
      <c r="H246" s="389"/>
      <c r="J246" s="104"/>
    </row>
    <row r="247" spans="1:10" s="106" customFormat="1" ht="27.75" customHeight="1">
      <c r="A247" s="203" t="s">
        <v>347</v>
      </c>
      <c r="B247" s="203" t="s">
        <v>59</v>
      </c>
      <c r="C247" s="208" t="s">
        <v>332</v>
      </c>
      <c r="D247" s="203" t="s">
        <v>61</v>
      </c>
      <c r="E247" s="203" t="s">
        <v>348</v>
      </c>
      <c r="F247" s="203"/>
      <c r="G247" s="204"/>
      <c r="H247" s="204">
        <v>130685</v>
      </c>
      <c r="I247" s="147">
        <f>+AIU!$G$25</f>
        <v>1.4255</v>
      </c>
      <c r="J247" s="104">
        <f t="shared" si="17"/>
        <v>186291</v>
      </c>
    </row>
    <row r="248" spans="1:10" s="106" customFormat="1">
      <c r="A248" s="393" t="s">
        <v>347</v>
      </c>
      <c r="B248" s="393" t="s">
        <v>63</v>
      </c>
      <c r="C248" s="393" t="s">
        <v>64</v>
      </c>
      <c r="D248" s="393" t="s">
        <v>65</v>
      </c>
      <c r="E248" s="393" t="s">
        <v>66</v>
      </c>
      <c r="F248" s="393">
        <v>4.8</v>
      </c>
      <c r="G248" s="393">
        <f>+VLOOKUP(B248,[112]Insumos!$A$2:$F$5000,5,FALSE)</f>
        <v>23915</v>
      </c>
      <c r="H248" s="393">
        <f t="shared" ref="H248:H249" si="20">+ROUND(F248*G248,0)</f>
        <v>114792</v>
      </c>
      <c r="J248" s="104"/>
    </row>
    <row r="249" spans="1:10" s="106" customFormat="1">
      <c r="A249" s="393" t="s">
        <v>347</v>
      </c>
      <c r="B249" s="393" t="s">
        <v>71</v>
      </c>
      <c r="C249" s="393" t="s">
        <v>72</v>
      </c>
      <c r="D249" s="393" t="s">
        <v>73</v>
      </c>
      <c r="E249" s="393" t="s">
        <v>74</v>
      </c>
      <c r="F249" s="393">
        <v>4.8</v>
      </c>
      <c r="G249" s="393">
        <f>+VLOOKUP(B249,[112]Insumos!$A$2:$F$5000,5,FALSE)</f>
        <v>3311</v>
      </c>
      <c r="H249" s="393">
        <f t="shared" si="20"/>
        <v>15893</v>
      </c>
      <c r="J249" s="104"/>
    </row>
    <row r="250" spans="1:10" s="106" customFormat="1">
      <c r="A250" s="101"/>
      <c r="B250" s="101"/>
      <c r="C250" s="101"/>
      <c r="D250" s="101"/>
      <c r="E250" s="101"/>
      <c r="F250" s="101"/>
      <c r="G250" s="389"/>
      <c r="H250" s="389"/>
      <c r="J250" s="104"/>
    </row>
    <row r="251" spans="1:10" s="106" customFormat="1" ht="26.25" customHeight="1">
      <c r="A251" s="203" t="s">
        <v>349</v>
      </c>
      <c r="B251" s="203" t="s">
        <v>59</v>
      </c>
      <c r="C251" s="208" t="s">
        <v>335</v>
      </c>
      <c r="D251" s="203" t="s">
        <v>61</v>
      </c>
      <c r="E251" s="203" t="s">
        <v>74</v>
      </c>
      <c r="F251" s="203"/>
      <c r="G251" s="204"/>
      <c r="H251" s="204">
        <v>239686</v>
      </c>
      <c r="I251" s="147">
        <f>+AIU!$G$25</f>
        <v>1.4255</v>
      </c>
      <c r="J251" s="104">
        <f t="shared" si="17"/>
        <v>341672</v>
      </c>
    </row>
    <row r="252" spans="1:10" s="106" customFormat="1">
      <c r="A252" s="393" t="s">
        <v>349</v>
      </c>
      <c r="B252" s="393" t="s">
        <v>177</v>
      </c>
      <c r="C252" s="393" t="s">
        <v>178</v>
      </c>
      <c r="D252" s="393" t="s">
        <v>126</v>
      </c>
      <c r="E252" s="393" t="s">
        <v>80</v>
      </c>
      <c r="F252" s="393">
        <v>0.02</v>
      </c>
      <c r="G252" s="393">
        <f>+VLOOKUP(B252,[112]Insumos!$A$2:$F$5000,5,FALSE)</f>
        <v>554104</v>
      </c>
      <c r="H252" s="393">
        <f t="shared" ref="H252:H257" si="21">+ROUND(F252*G252,0)</f>
        <v>11082</v>
      </c>
    </row>
    <row r="253" spans="1:10" s="106" customFormat="1">
      <c r="A253" s="393" t="s">
        <v>349</v>
      </c>
      <c r="B253" s="393" t="s">
        <v>148</v>
      </c>
      <c r="C253" s="393" t="s">
        <v>149</v>
      </c>
      <c r="D253" s="393" t="s">
        <v>65</v>
      </c>
      <c r="E253" s="393" t="s">
        <v>66</v>
      </c>
      <c r="F253" s="393">
        <v>3</v>
      </c>
      <c r="G253" s="393">
        <f>+VLOOKUP(B253,[112]Insumos!$A$2:$F$5000,5,FALSE)</f>
        <v>33113</v>
      </c>
      <c r="H253" s="393">
        <f t="shared" si="21"/>
        <v>99339</v>
      </c>
    </row>
    <row r="254" spans="1:10" s="106" customFormat="1">
      <c r="A254" s="393" t="s">
        <v>349</v>
      </c>
      <c r="B254" s="393" t="s">
        <v>104</v>
      </c>
      <c r="C254" s="393" t="s">
        <v>105</v>
      </c>
      <c r="D254" s="393" t="s">
        <v>69</v>
      </c>
      <c r="E254" s="393" t="s">
        <v>106</v>
      </c>
      <c r="F254" s="393">
        <v>1.4E-2</v>
      </c>
      <c r="G254" s="393">
        <f>+VLOOKUP(B254,[112]Insumos!$A$2:$F$5000,5,FALSE)</f>
        <v>171308</v>
      </c>
      <c r="H254" s="393">
        <f t="shared" si="21"/>
        <v>2398</v>
      </c>
    </row>
    <row r="255" spans="1:10" s="106" customFormat="1">
      <c r="A255" s="393" t="s">
        <v>349</v>
      </c>
      <c r="B255" s="393" t="s">
        <v>71</v>
      </c>
      <c r="C255" s="393" t="s">
        <v>72</v>
      </c>
      <c r="D255" s="393" t="s">
        <v>73</v>
      </c>
      <c r="E255" s="393" t="s">
        <v>74</v>
      </c>
      <c r="F255" s="393">
        <v>4</v>
      </c>
      <c r="G255" s="393">
        <f>+VLOOKUP(B255,[112]Insumos!$A$2:$F$5000,5,FALSE)</f>
        <v>3311</v>
      </c>
      <c r="H255" s="393">
        <f t="shared" si="21"/>
        <v>13244</v>
      </c>
    </row>
    <row r="256" spans="1:10" s="106" customFormat="1">
      <c r="A256" s="393" t="s">
        <v>349</v>
      </c>
      <c r="B256" s="393" t="s">
        <v>75</v>
      </c>
      <c r="C256" s="393" t="s">
        <v>76</v>
      </c>
      <c r="D256" s="393" t="s">
        <v>77</v>
      </c>
      <c r="E256" s="393" t="s">
        <v>74</v>
      </c>
      <c r="F256" s="393">
        <v>0.28999999999999998</v>
      </c>
      <c r="G256" s="393">
        <f>+VLOOKUP(B256,[112]Insumos!$A$2:$F$5000,5,FALSE)</f>
        <v>1733</v>
      </c>
      <c r="H256" s="393">
        <f t="shared" si="21"/>
        <v>503</v>
      </c>
    </row>
    <row r="257" spans="1:16" s="106" customFormat="1">
      <c r="A257" s="393" t="s">
        <v>349</v>
      </c>
      <c r="B257" s="393" t="s">
        <v>350</v>
      </c>
      <c r="C257" s="393" t="s">
        <v>351</v>
      </c>
      <c r="D257" s="393" t="s">
        <v>77</v>
      </c>
      <c r="E257" s="393" t="s">
        <v>74</v>
      </c>
      <c r="F257" s="393">
        <v>1</v>
      </c>
      <c r="G257" s="393">
        <f>+VLOOKUP(B257,[112]Insumos!$A$2:$F$5000,5,FALSE)</f>
        <v>113120</v>
      </c>
      <c r="H257" s="393">
        <f t="shared" si="21"/>
        <v>113120</v>
      </c>
    </row>
    <row r="258" spans="1:16" s="106" customFormat="1">
      <c r="A258" s="101"/>
      <c r="B258" s="101"/>
      <c r="C258" s="101"/>
      <c r="D258" s="101"/>
      <c r="E258" s="101"/>
      <c r="F258" s="101"/>
      <c r="G258" s="389"/>
      <c r="H258" s="389"/>
    </row>
    <row r="259" spans="1:16" s="159" customFormat="1">
      <c r="A259" s="203" t="s">
        <v>245</v>
      </c>
      <c r="B259" s="203" t="s">
        <v>59</v>
      </c>
      <c r="C259" s="208" t="s">
        <v>246</v>
      </c>
      <c r="D259" s="203" t="s">
        <v>61</v>
      </c>
      <c r="E259" s="203" t="s">
        <v>80</v>
      </c>
      <c r="F259" s="203"/>
      <c r="G259" s="204"/>
      <c r="H259" s="204">
        <f>SUM(H260:H264)</f>
        <v>35320</v>
      </c>
      <c r="I259" s="247">
        <f>+AIU!$G$25</f>
        <v>1.4255</v>
      </c>
      <c r="J259" s="248">
        <f>ROUND(H259*I259,0)</f>
        <v>50349</v>
      </c>
    </row>
    <row r="260" spans="1:16" s="159" customFormat="1">
      <c r="A260" s="215" t="s">
        <v>245</v>
      </c>
      <c r="B260" s="215" t="s">
        <v>92</v>
      </c>
      <c r="C260" s="215" t="s">
        <v>93</v>
      </c>
      <c r="D260" s="215" t="s">
        <v>65</v>
      </c>
      <c r="E260" s="215" t="s">
        <v>66</v>
      </c>
      <c r="F260" s="215">
        <v>0.04</v>
      </c>
      <c r="G260" s="219">
        <v>42311</v>
      </c>
      <c r="H260" s="219">
        <f>+ROUND(F260*G260,0)</f>
        <v>1692</v>
      </c>
    </row>
    <row r="261" spans="1:16" s="159" customFormat="1" ht="15" customHeight="1">
      <c r="A261" s="215" t="s">
        <v>245</v>
      </c>
      <c r="B261" s="249" t="s">
        <v>247</v>
      </c>
      <c r="C261" s="250" t="s">
        <v>248</v>
      </c>
      <c r="D261" s="215" t="s">
        <v>69</v>
      </c>
      <c r="E261" s="215" t="s">
        <v>66</v>
      </c>
      <c r="F261" s="215">
        <v>0.04</v>
      </c>
      <c r="G261" s="219">
        <v>278207</v>
      </c>
      <c r="H261" s="219">
        <f>+ROUND(F261*G261,0)</f>
        <v>11128</v>
      </c>
      <c r="I261" s="149"/>
      <c r="J261" s="101"/>
      <c r="K261" s="101"/>
      <c r="L261" s="160"/>
      <c r="M261" s="101"/>
      <c r="N261" s="161"/>
      <c r="O261" s="101"/>
      <c r="P261" s="101"/>
    </row>
    <row r="262" spans="1:16" s="159" customFormat="1">
      <c r="A262" s="215" t="s">
        <v>245</v>
      </c>
      <c r="B262" s="215" t="s">
        <v>249</v>
      </c>
      <c r="C262" s="215" t="s">
        <v>250</v>
      </c>
      <c r="D262" s="215" t="s">
        <v>69</v>
      </c>
      <c r="E262" s="215" t="s">
        <v>70</v>
      </c>
      <c r="F262" s="215">
        <v>0.217</v>
      </c>
      <c r="G262" s="219">
        <v>82228</v>
      </c>
      <c r="H262" s="219">
        <f>+ROUND(F262*G262,0)</f>
        <v>17843</v>
      </c>
      <c r="I262" s="149"/>
      <c r="J262" s="101"/>
      <c r="K262" s="101"/>
      <c r="L262" s="160"/>
      <c r="M262" s="101"/>
      <c r="N262" s="161"/>
      <c r="O262" s="101"/>
      <c r="P262" s="101"/>
    </row>
    <row r="263" spans="1:16" s="159" customFormat="1">
      <c r="A263" s="215" t="s">
        <v>245</v>
      </c>
      <c r="B263" s="215" t="s">
        <v>71</v>
      </c>
      <c r="C263" s="215" t="s">
        <v>72</v>
      </c>
      <c r="D263" s="215" t="s">
        <v>73</v>
      </c>
      <c r="E263" s="215" t="s">
        <v>74</v>
      </c>
      <c r="F263" s="215">
        <v>0.04</v>
      </c>
      <c r="G263" s="219">
        <v>3311</v>
      </c>
      <c r="H263" s="219">
        <f>+ROUND(F263*G263,0)</f>
        <v>132</v>
      </c>
      <c r="I263" s="149"/>
      <c r="J263" s="101"/>
      <c r="K263" s="101"/>
      <c r="L263" s="160"/>
      <c r="M263" s="101"/>
      <c r="N263" s="161"/>
      <c r="O263" s="101"/>
      <c r="P263" s="101"/>
    </row>
    <row r="264" spans="1:16" s="159" customFormat="1">
      <c r="A264" s="215" t="s">
        <v>245</v>
      </c>
      <c r="B264" s="215"/>
      <c r="C264" s="215" t="s">
        <v>86</v>
      </c>
      <c r="D264" s="215"/>
      <c r="E264" s="215" t="s">
        <v>80</v>
      </c>
      <c r="F264" s="215">
        <v>1</v>
      </c>
      <c r="G264" s="219">
        <v>4525</v>
      </c>
      <c r="H264" s="219">
        <f>+ROUND(F264*G264,0)</f>
        <v>4525</v>
      </c>
      <c r="I264" s="149"/>
      <c r="J264" s="101"/>
      <c r="K264" s="101"/>
      <c r="L264" s="160"/>
      <c r="M264" s="101"/>
      <c r="N264" s="161"/>
      <c r="O264" s="101"/>
      <c r="P264" s="101"/>
    </row>
    <row r="265" spans="1:16" s="251" customFormat="1">
      <c r="G265" s="252"/>
      <c r="H265" s="252"/>
    </row>
    <row r="266" spans="1:16" s="106" customFormat="1">
      <c r="A266" s="203" t="s">
        <v>251</v>
      </c>
      <c r="B266" s="203" t="s">
        <v>59</v>
      </c>
      <c r="C266" s="203" t="s">
        <v>252</v>
      </c>
      <c r="D266" s="203" t="s">
        <v>61</v>
      </c>
      <c r="E266" s="203" t="s">
        <v>106</v>
      </c>
      <c r="F266" s="203"/>
      <c r="G266" s="204"/>
      <c r="H266" s="204">
        <f>SUM(H267)</f>
        <v>208656</v>
      </c>
      <c r="I266" s="147">
        <f>+AIU!$G$25</f>
        <v>1.4255</v>
      </c>
      <c r="J266" s="104">
        <f>ROUND(H266*I266,0)</f>
        <v>297439</v>
      </c>
    </row>
    <row r="267" spans="1:16" s="106" customFormat="1">
      <c r="A267" s="205" t="s">
        <v>251</v>
      </c>
      <c r="B267" s="205" t="s">
        <v>253</v>
      </c>
      <c r="C267" s="205" t="s">
        <v>254</v>
      </c>
      <c r="D267" s="205" t="s">
        <v>69</v>
      </c>
      <c r="E267" s="205" t="s">
        <v>106</v>
      </c>
      <c r="F267" s="205">
        <v>1</v>
      </c>
      <c r="G267" s="206">
        <v>208656</v>
      </c>
      <c r="H267" s="206">
        <f>+ROUND(F267*G267,0)</f>
        <v>208656</v>
      </c>
    </row>
    <row r="269" spans="1:16" s="106" customFormat="1">
      <c r="A269" s="203" t="s">
        <v>255</v>
      </c>
      <c r="B269" s="203" t="s">
        <v>59</v>
      </c>
      <c r="C269" s="203" t="s">
        <v>256</v>
      </c>
      <c r="D269" s="203" t="s">
        <v>61</v>
      </c>
      <c r="E269" s="203" t="s">
        <v>106</v>
      </c>
      <c r="F269" s="203"/>
      <c r="G269" s="204"/>
      <c r="H269" s="204">
        <f>SUM(H270)</f>
        <v>73584</v>
      </c>
      <c r="I269" s="147">
        <f>+AIU!$G$25</f>
        <v>1.4255</v>
      </c>
      <c r="J269" s="104">
        <f>ROUND(H269*I269,0)</f>
        <v>104894</v>
      </c>
    </row>
    <row r="270" spans="1:16" s="106" customFormat="1">
      <c r="A270" s="205" t="s">
        <v>255</v>
      </c>
      <c r="B270" s="205" t="s">
        <v>257</v>
      </c>
      <c r="C270" s="205" t="s">
        <v>258</v>
      </c>
      <c r="D270" s="205" t="s">
        <v>65</v>
      </c>
      <c r="E270" s="205" t="s">
        <v>66</v>
      </c>
      <c r="F270" s="205">
        <v>8</v>
      </c>
      <c r="G270" s="206">
        <v>9198</v>
      </c>
      <c r="H270" s="206">
        <f>+ROUND(F270*G270,0)</f>
        <v>73584</v>
      </c>
    </row>
    <row r="272" spans="1:16" s="106" customFormat="1">
      <c r="A272" s="203" t="s">
        <v>259</v>
      </c>
      <c r="B272" s="203" t="s">
        <v>59</v>
      </c>
      <c r="C272" s="203" t="s">
        <v>260</v>
      </c>
      <c r="D272" s="203" t="s">
        <v>61</v>
      </c>
      <c r="E272" s="203" t="s">
        <v>106</v>
      </c>
      <c r="F272" s="203"/>
      <c r="G272" s="204"/>
      <c r="H272" s="204">
        <v>99868</v>
      </c>
      <c r="I272" s="147">
        <f>+AIU!$G$25</f>
        <v>1.4255</v>
      </c>
      <c r="J272" s="104">
        <f>ROUND(H272*I272,0)</f>
        <v>142362</v>
      </c>
    </row>
    <row r="273" spans="1:14" s="106" customFormat="1">
      <c r="A273" s="205" t="s">
        <v>259</v>
      </c>
      <c r="B273" s="205"/>
      <c r="C273" s="205" t="s">
        <v>261</v>
      </c>
      <c r="D273" s="205" t="s">
        <v>65</v>
      </c>
      <c r="E273" s="205" t="s">
        <v>66</v>
      </c>
      <c r="F273" s="205">
        <v>8</v>
      </c>
      <c r="G273" s="206">
        <v>12483</v>
      </c>
      <c r="H273" s="206">
        <f>ROUND((F273*G273),0)</f>
        <v>99864</v>
      </c>
    </row>
    <row r="274" spans="1:14">
      <c r="I274" s="106"/>
      <c r="J274" s="106"/>
      <c r="K274" s="106"/>
      <c r="L274" s="106"/>
      <c r="M274" s="106"/>
      <c r="N274" s="106"/>
    </row>
    <row r="275" spans="1:14" s="159" customFormat="1" ht="30.75" customHeight="1">
      <c r="A275" s="203" t="s">
        <v>262</v>
      </c>
      <c r="B275" s="203" t="s">
        <v>59</v>
      </c>
      <c r="C275" s="208" t="s">
        <v>263</v>
      </c>
      <c r="D275" s="203" t="s">
        <v>61</v>
      </c>
      <c r="E275" s="203" t="s">
        <v>62</v>
      </c>
      <c r="F275" s="203"/>
      <c r="G275" s="204"/>
      <c r="H275" s="204">
        <f>SUM(H276)</f>
        <v>103861</v>
      </c>
      <c r="I275" s="147">
        <f>+AIU!$G$25</f>
        <v>1.4255</v>
      </c>
      <c r="J275" s="104">
        <f>ROUND(H275*I275,0)</f>
        <v>148054</v>
      </c>
      <c r="K275" s="106"/>
      <c r="L275" s="106"/>
      <c r="M275" s="106"/>
      <c r="N275" s="106"/>
    </row>
    <row r="276" spans="1:14" s="106" customFormat="1" ht="31.5" customHeight="1">
      <c r="A276" s="205" t="s">
        <v>262</v>
      </c>
      <c r="B276" s="205" t="s">
        <v>264</v>
      </c>
      <c r="C276" s="222" t="s">
        <v>265</v>
      </c>
      <c r="D276" s="205" t="s">
        <v>77</v>
      </c>
      <c r="E276" s="205" t="s">
        <v>62</v>
      </c>
      <c r="F276" s="205">
        <v>1</v>
      </c>
      <c r="G276" s="206">
        <v>103861</v>
      </c>
      <c r="H276" s="206">
        <f>+ROUND(F276*G276,0)</f>
        <v>103861</v>
      </c>
    </row>
    <row r="277" spans="1:14">
      <c r="I277" s="106"/>
      <c r="J277" s="106"/>
      <c r="K277" s="106"/>
      <c r="L277" s="106"/>
      <c r="M277" s="106"/>
      <c r="N277" s="106"/>
    </row>
    <row r="278" spans="1:14" s="159" customFormat="1" ht="33.75" customHeight="1">
      <c r="A278" s="203" t="s">
        <v>266</v>
      </c>
      <c r="B278" s="203" t="s">
        <v>59</v>
      </c>
      <c r="C278" s="208" t="s">
        <v>267</v>
      </c>
      <c r="D278" s="203" t="s">
        <v>61</v>
      </c>
      <c r="E278" s="203" t="s">
        <v>188</v>
      </c>
      <c r="F278" s="203"/>
      <c r="G278" s="204"/>
      <c r="H278" s="204">
        <f>SUM(H279)</f>
        <v>12115</v>
      </c>
      <c r="I278" s="147">
        <f>+AIU!$G$25</f>
        <v>1.4255</v>
      </c>
      <c r="J278" s="104">
        <f>ROUND(H278*I278,0)</f>
        <v>17270</v>
      </c>
      <c r="K278" s="106"/>
      <c r="L278" s="106"/>
      <c r="M278" s="106"/>
      <c r="N278" s="106"/>
    </row>
    <row r="279" spans="1:14" s="106" customFormat="1" ht="31.15" customHeight="1">
      <c r="A279" s="205" t="s">
        <v>266</v>
      </c>
      <c r="B279" s="205" t="s">
        <v>268</v>
      </c>
      <c r="C279" s="222" t="s">
        <v>269</v>
      </c>
      <c r="D279" s="205" t="s">
        <v>77</v>
      </c>
      <c r="E279" s="205" t="s">
        <v>188</v>
      </c>
      <c r="F279" s="205">
        <v>1</v>
      </c>
      <c r="G279" s="206">
        <v>12115</v>
      </c>
      <c r="H279" s="206">
        <f>+ROUND(F279*G279,0)</f>
        <v>12115</v>
      </c>
    </row>
  </sheetData>
  <mergeCells count="2">
    <mergeCell ref="A1:H1"/>
    <mergeCell ref="A3:H3"/>
  </mergeCells>
  <phoneticPr fontId="23" type="noConversion"/>
  <pageMargins left="0.70866141732283472" right="0.70866141732283472" top="0.74803149606299213" bottom="0.74803149606299213" header="0.31496062992125984" footer="0.31496062992125984"/>
  <pageSetup scale="53" orientation="landscape" r:id="rId1"/>
  <rowBreaks count="3" manualBreakCount="3">
    <brk id="133" max="9" man="1"/>
    <brk id="192" max="9" man="1"/>
    <brk id="279"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D3D9-7E9A-4ACF-8160-E0F354F72C4C}">
  <dimension ref="A1:K48"/>
  <sheetViews>
    <sheetView topLeftCell="A16" zoomScale="90" zoomScaleNormal="90" workbookViewId="0">
      <selection activeCell="G26" sqref="G26"/>
    </sheetView>
  </sheetViews>
  <sheetFormatPr baseColWidth="10" defaultColWidth="11.5703125" defaultRowHeight="15"/>
  <cols>
    <col min="1" max="1" width="11" style="111" customWidth="1"/>
    <col min="2" max="2" width="59.28515625" style="111" customWidth="1"/>
    <col min="3" max="3" width="7.42578125" style="111" customWidth="1"/>
    <col min="4" max="4" width="10.7109375" style="127" customWidth="1"/>
    <col min="5" max="5" width="18.140625" style="127" customWidth="1"/>
    <col min="6" max="6" width="15.7109375" style="127" customWidth="1"/>
    <col min="7" max="7" width="11.5703125" style="127"/>
    <col min="8" max="8" width="11.5703125" style="146"/>
    <col min="9" max="9" width="14.140625" style="111" customWidth="1"/>
    <col min="10" max="10" width="16.42578125" style="111" customWidth="1"/>
    <col min="11" max="16384" width="11.5703125" style="111"/>
  </cols>
  <sheetData>
    <row r="1" spans="1:11" ht="33.6" customHeight="1" thickBot="1">
      <c r="A1" s="272" t="s">
        <v>270</v>
      </c>
      <c r="B1" s="477" t="s">
        <v>271</v>
      </c>
      <c r="C1" s="478"/>
      <c r="D1" s="478"/>
      <c r="E1" s="478"/>
      <c r="F1" s="478"/>
      <c r="G1" s="478"/>
      <c r="H1" s="478"/>
      <c r="I1" s="478"/>
      <c r="J1" s="479"/>
      <c r="K1" s="110"/>
    </row>
    <row r="2" spans="1:11" ht="15.75" thickBot="1">
      <c r="A2" s="112"/>
      <c r="B2" s="110"/>
      <c r="C2" s="113"/>
      <c r="D2" s="114"/>
      <c r="E2" s="114"/>
      <c r="F2" s="115"/>
      <c r="G2" s="113"/>
      <c r="H2" s="116"/>
      <c r="I2" s="117"/>
      <c r="J2" s="118"/>
      <c r="K2" s="110"/>
    </row>
    <row r="3" spans="1:11" ht="15.75" thickBot="1">
      <c r="A3" s="351" t="s">
        <v>272</v>
      </c>
      <c r="B3" s="352"/>
      <c r="C3" s="480" t="s">
        <v>273</v>
      </c>
      <c r="D3" s="481"/>
      <c r="E3" s="353">
        <f>+'PRESUPUESTO UNITARIO'!M70</f>
        <v>287618379.51595932</v>
      </c>
      <c r="F3" s="119"/>
      <c r="G3" s="120"/>
      <c r="H3" s="121"/>
      <c r="I3" s="122"/>
      <c r="J3" s="123"/>
      <c r="K3" s="110"/>
    </row>
    <row r="4" spans="1:11" ht="15.75" thickBot="1">
      <c r="A4" s="124" t="s">
        <v>274</v>
      </c>
      <c r="B4" s="125"/>
      <c r="C4" s="482" t="s">
        <v>275</v>
      </c>
      <c r="D4" s="483"/>
      <c r="E4" s="126">
        <v>2</v>
      </c>
      <c r="G4" s="113"/>
      <c r="H4" s="128"/>
      <c r="I4" s="117"/>
      <c r="J4" s="129"/>
      <c r="K4" s="110"/>
    </row>
    <row r="5" spans="1:11" ht="15.75" thickBot="1">
      <c r="A5" s="130"/>
      <c r="B5" s="110"/>
      <c r="C5" s="484" t="s">
        <v>276</v>
      </c>
      <c r="D5" s="485"/>
      <c r="E5" s="354">
        <f>+E4*30</f>
        <v>60</v>
      </c>
      <c r="F5" s="131"/>
      <c r="G5" s="113"/>
      <c r="H5" s="128"/>
      <c r="I5" s="117"/>
      <c r="J5" s="129"/>
      <c r="K5" s="110"/>
    </row>
    <row r="6" spans="1:11" ht="15.75" thickBot="1">
      <c r="A6" s="112"/>
      <c r="B6" s="110"/>
      <c r="C6" s="113"/>
      <c r="D6" s="114"/>
      <c r="E6" s="114"/>
      <c r="F6" s="115"/>
      <c r="G6" s="113"/>
      <c r="H6" s="128"/>
      <c r="I6" s="117"/>
      <c r="J6" s="118"/>
      <c r="K6" s="110"/>
    </row>
    <row r="7" spans="1:11" ht="39" thickBot="1">
      <c r="A7" s="355" t="s">
        <v>277</v>
      </c>
      <c r="B7" s="356" t="s">
        <v>278</v>
      </c>
      <c r="C7" s="357" t="s">
        <v>279</v>
      </c>
      <c r="D7" s="358" t="s">
        <v>12</v>
      </c>
      <c r="E7" s="358" t="s">
        <v>280</v>
      </c>
      <c r="F7" s="359" t="s">
        <v>281</v>
      </c>
      <c r="G7" s="357" t="s">
        <v>282</v>
      </c>
      <c r="H7" s="359" t="s">
        <v>28</v>
      </c>
      <c r="I7" s="359" t="s">
        <v>283</v>
      </c>
      <c r="J7" s="360" t="s">
        <v>30</v>
      </c>
      <c r="K7" s="132"/>
    </row>
    <row r="8" spans="1:11" ht="15.75" thickBot="1">
      <c r="A8" s="112"/>
      <c r="B8" s="110"/>
      <c r="C8" s="113"/>
      <c r="D8" s="114"/>
      <c r="E8" s="114"/>
      <c r="F8" s="115"/>
      <c r="G8" s="113"/>
      <c r="H8" s="128"/>
      <c r="I8" s="117"/>
      <c r="J8" s="118"/>
      <c r="K8" s="110"/>
    </row>
    <row r="9" spans="1:11">
      <c r="A9" s="361">
        <v>1</v>
      </c>
      <c r="B9" s="362" t="s">
        <v>284</v>
      </c>
      <c r="C9" s="363"/>
      <c r="D9" s="364"/>
      <c r="E9" s="364"/>
      <c r="F9" s="365"/>
      <c r="G9" s="363"/>
      <c r="H9" s="366"/>
      <c r="I9" s="367"/>
      <c r="J9" s="368">
        <f>+J10</f>
        <v>0.13525717329146342</v>
      </c>
      <c r="K9" s="110"/>
    </row>
    <row r="10" spans="1:11">
      <c r="A10" s="273">
        <v>1.1000000000000001</v>
      </c>
      <c r="B10" s="274" t="s">
        <v>285</v>
      </c>
      <c r="C10" s="275"/>
      <c r="D10" s="276"/>
      <c r="E10" s="276"/>
      <c r="F10" s="277"/>
      <c r="G10" s="275"/>
      <c r="H10" s="278"/>
      <c r="I10" s="279">
        <f>SUM(H11:H21)</f>
        <v>38902449</v>
      </c>
      <c r="J10" s="280">
        <f>+I10/$E$3</f>
        <v>0.13525717329146342</v>
      </c>
      <c r="K10" s="133">
        <f>SUM(J11:J22)</f>
        <v>0.13525717329146339</v>
      </c>
    </row>
    <row r="11" spans="1:11">
      <c r="A11" s="281"/>
      <c r="B11" s="223" t="s">
        <v>286</v>
      </c>
      <c r="C11" s="224" t="s">
        <v>287</v>
      </c>
      <c r="D11" s="225">
        <v>1</v>
      </c>
      <c r="E11" s="226">
        <v>0.1</v>
      </c>
      <c r="F11" s="378">
        <v>6500000</v>
      </c>
      <c r="G11" s="228">
        <v>0.54830000000000001</v>
      </c>
      <c r="H11" s="229">
        <f>+D11*E11*F11*(1+G11)*$E$4</f>
        <v>2012790</v>
      </c>
      <c r="I11" s="230"/>
      <c r="J11" s="231">
        <f>+H11/$E$3</f>
        <v>6.9981271829268289E-3</v>
      </c>
      <c r="K11" s="134"/>
    </row>
    <row r="12" spans="1:11">
      <c r="A12" s="282"/>
      <c r="B12" s="232" t="s">
        <v>288</v>
      </c>
      <c r="C12" s="233" t="s">
        <v>287</v>
      </c>
      <c r="D12" s="225">
        <v>1</v>
      </c>
      <c r="E12" s="234">
        <v>1</v>
      </c>
      <c r="F12" s="379">
        <v>4200000</v>
      </c>
      <c r="G12" s="236">
        <v>0.54830000000000001</v>
      </c>
      <c r="H12" s="237">
        <f t="shared" ref="H12:H16" si="0">+D12*E12*F12*(1+G12)*$E$4</f>
        <v>13005720</v>
      </c>
      <c r="I12" s="238"/>
      <c r="J12" s="239">
        <f t="shared" ref="J12:J22" si="1">+H12/$E$3</f>
        <v>4.521866795121951E-2</v>
      </c>
      <c r="K12" s="110"/>
    </row>
    <row r="13" spans="1:11">
      <c r="A13" s="282"/>
      <c r="B13" s="232" t="s">
        <v>289</v>
      </c>
      <c r="C13" s="233" t="s">
        <v>287</v>
      </c>
      <c r="D13" s="225">
        <v>1</v>
      </c>
      <c r="E13" s="240">
        <v>1</v>
      </c>
      <c r="F13" s="379">
        <v>2690000</v>
      </c>
      <c r="G13" s="236">
        <v>0.54830000000000001</v>
      </c>
      <c r="H13" s="237">
        <f t="shared" si="0"/>
        <v>8329854</v>
      </c>
      <c r="I13" s="238"/>
      <c r="J13" s="239">
        <f t="shared" si="1"/>
        <v>2.8961480187804877E-2</v>
      </c>
      <c r="K13" s="110"/>
    </row>
    <row r="14" spans="1:11">
      <c r="A14" s="282"/>
      <c r="B14" s="232" t="s">
        <v>290</v>
      </c>
      <c r="C14" s="233" t="s">
        <v>287</v>
      </c>
      <c r="D14" s="225">
        <v>1</v>
      </c>
      <c r="E14" s="240">
        <v>0.5</v>
      </c>
      <c r="F14" s="379">
        <v>3250000</v>
      </c>
      <c r="G14" s="236">
        <v>0.54830000000000001</v>
      </c>
      <c r="H14" s="237">
        <f t="shared" si="0"/>
        <v>5031975</v>
      </c>
      <c r="I14" s="238"/>
      <c r="J14" s="239">
        <f t="shared" si="1"/>
        <v>1.7495317957317073E-2</v>
      </c>
      <c r="K14" s="110"/>
    </row>
    <row r="15" spans="1:11">
      <c r="A15" s="282"/>
      <c r="B15" s="232" t="s">
        <v>291</v>
      </c>
      <c r="C15" s="233" t="s">
        <v>287</v>
      </c>
      <c r="D15" s="225">
        <v>1</v>
      </c>
      <c r="E15" s="240">
        <v>0.5</v>
      </c>
      <c r="F15" s="379">
        <v>3250000</v>
      </c>
      <c r="G15" s="236">
        <v>0.54830000000000001</v>
      </c>
      <c r="H15" s="237">
        <f t="shared" si="0"/>
        <v>5031975</v>
      </c>
      <c r="I15" s="238"/>
      <c r="J15" s="239">
        <f t="shared" si="1"/>
        <v>1.7495317957317073E-2</v>
      </c>
      <c r="K15" s="110"/>
    </row>
    <row r="16" spans="1:11">
      <c r="A16" s="282"/>
      <c r="B16" s="232" t="s">
        <v>292</v>
      </c>
      <c r="C16" s="233" t="s">
        <v>287</v>
      </c>
      <c r="D16" s="225">
        <v>1</v>
      </c>
      <c r="E16" s="234">
        <v>0.1</v>
      </c>
      <c r="F16" s="379">
        <v>3250000</v>
      </c>
      <c r="G16" s="236">
        <v>0.54830000000000001</v>
      </c>
      <c r="H16" s="237">
        <f t="shared" si="0"/>
        <v>1006395</v>
      </c>
      <c r="I16" s="238"/>
      <c r="J16" s="239">
        <f t="shared" si="1"/>
        <v>3.4990635914634144E-3</v>
      </c>
      <c r="K16" s="110"/>
    </row>
    <row r="17" spans="1:11">
      <c r="A17" s="281"/>
      <c r="B17" s="223" t="s">
        <v>293</v>
      </c>
      <c r="C17" s="224" t="s">
        <v>287</v>
      </c>
      <c r="D17" s="225">
        <v>1</v>
      </c>
      <c r="E17" s="226">
        <v>0.2</v>
      </c>
      <c r="F17" s="378">
        <v>1300000</v>
      </c>
      <c r="G17" s="228">
        <v>0.69950000000000001</v>
      </c>
      <c r="H17" s="229">
        <f>+D17*E17*F17*(1+G17)*$E$4</f>
        <v>883740</v>
      </c>
      <c r="I17" s="230"/>
      <c r="J17" s="231">
        <f>+H17/$E$3</f>
        <v>3.0726130975609754E-3</v>
      </c>
      <c r="K17" s="134"/>
    </row>
    <row r="18" spans="1:11">
      <c r="A18" s="135"/>
      <c r="B18" s="136"/>
      <c r="C18" s="137"/>
      <c r="D18" s="138"/>
      <c r="E18" s="139"/>
      <c r="F18" s="140"/>
      <c r="G18" s="141"/>
      <c r="H18" s="142"/>
      <c r="I18" s="122"/>
      <c r="J18" s="143"/>
      <c r="K18" s="110"/>
    </row>
    <row r="19" spans="1:11" ht="37.15" customHeight="1">
      <c r="A19" s="281"/>
      <c r="B19" s="241" t="s">
        <v>294</v>
      </c>
      <c r="C19" s="224" t="s">
        <v>295</v>
      </c>
      <c r="D19" s="225">
        <v>1</v>
      </c>
      <c r="E19" s="226">
        <v>1</v>
      </c>
      <c r="F19" s="227">
        <v>800000</v>
      </c>
      <c r="G19" s="228"/>
      <c r="H19" s="229">
        <f>+D19*E19*F19*E4</f>
        <v>1600000</v>
      </c>
      <c r="I19" s="230"/>
      <c r="J19" s="231">
        <f t="shared" si="1"/>
        <v>5.5629268292682922E-3</v>
      </c>
      <c r="K19" s="134"/>
    </row>
    <row r="20" spans="1:11">
      <c r="A20" s="282"/>
      <c r="B20" s="232" t="s">
        <v>296</v>
      </c>
      <c r="C20" s="233" t="s">
        <v>287</v>
      </c>
      <c r="D20" s="242">
        <v>1</v>
      </c>
      <c r="E20" s="240">
        <v>1</v>
      </c>
      <c r="F20" s="235">
        <v>1000000</v>
      </c>
      <c r="G20" s="236"/>
      <c r="H20" s="237">
        <f>F20</f>
        <v>1000000</v>
      </c>
      <c r="I20" s="238"/>
      <c r="J20" s="239">
        <f t="shared" si="1"/>
        <v>3.4768292682926826E-3</v>
      </c>
      <c r="K20" s="110"/>
    </row>
    <row r="21" spans="1:11">
      <c r="A21" s="281"/>
      <c r="B21" s="223" t="s">
        <v>297</v>
      </c>
      <c r="C21" s="224" t="s">
        <v>298</v>
      </c>
      <c r="D21" s="225">
        <v>1</v>
      </c>
      <c r="E21" s="226">
        <v>1</v>
      </c>
      <c r="F21" s="227">
        <v>500000</v>
      </c>
      <c r="G21" s="228"/>
      <c r="H21" s="229">
        <f>D21*E21*F21*E4</f>
        <v>1000000</v>
      </c>
      <c r="I21" s="230"/>
      <c r="J21" s="231">
        <f t="shared" si="1"/>
        <v>3.4768292682926826E-3</v>
      </c>
      <c r="K21" s="134"/>
    </row>
    <row r="22" spans="1:11">
      <c r="A22" s="282"/>
      <c r="B22" s="232"/>
      <c r="C22" s="233"/>
      <c r="D22" s="242"/>
      <c r="E22" s="240"/>
      <c r="F22" s="235"/>
      <c r="G22" s="236"/>
      <c r="H22" s="237"/>
      <c r="I22" s="238"/>
      <c r="J22" s="239">
        <f t="shared" si="1"/>
        <v>0</v>
      </c>
      <c r="K22" s="110"/>
    </row>
    <row r="23" spans="1:11">
      <c r="A23" s="273">
        <v>2</v>
      </c>
      <c r="B23" s="283" t="s">
        <v>299</v>
      </c>
      <c r="C23" s="275"/>
      <c r="D23" s="284"/>
      <c r="E23" s="284"/>
      <c r="F23" s="285"/>
      <c r="G23" s="286"/>
      <c r="H23" s="287"/>
      <c r="I23" s="288"/>
      <c r="J23" s="289">
        <f>J24+J27+J33+J37</f>
        <v>0.23023378055816573</v>
      </c>
      <c r="K23" s="133">
        <f>SUM(K27:K45)</f>
        <v>0.23023378055816573</v>
      </c>
    </row>
    <row r="24" spans="1:11">
      <c r="A24" s="290">
        <v>2.1</v>
      </c>
      <c r="B24" s="274" t="s">
        <v>300</v>
      </c>
      <c r="C24" s="275"/>
      <c r="D24" s="284"/>
      <c r="E24" s="284"/>
      <c r="F24" s="285"/>
      <c r="G24" s="286"/>
      <c r="H24" s="287"/>
      <c r="I24" s="279"/>
      <c r="J24" s="280"/>
      <c r="K24" s="133"/>
    </row>
    <row r="25" spans="1:11">
      <c r="A25" s="290"/>
      <c r="B25" s="291" t="s">
        <v>301</v>
      </c>
      <c r="C25" s="275"/>
      <c r="D25" s="292"/>
      <c r="E25" s="284"/>
      <c r="F25" s="285"/>
      <c r="G25" s="293">
        <v>1.4255</v>
      </c>
      <c r="H25" s="287"/>
      <c r="I25" s="288"/>
      <c r="J25" s="294"/>
      <c r="K25" s="110"/>
    </row>
    <row r="26" spans="1:11">
      <c r="A26" s="290"/>
      <c r="B26" s="291"/>
      <c r="C26" s="275"/>
      <c r="D26" s="284"/>
      <c r="E26" s="284"/>
      <c r="F26" s="295"/>
      <c r="G26" s="296"/>
      <c r="H26" s="287"/>
      <c r="I26" s="288"/>
      <c r="J26" s="294"/>
      <c r="K26" s="110"/>
    </row>
    <row r="27" spans="1:11">
      <c r="A27" s="290">
        <v>2.2000000000000002</v>
      </c>
      <c r="B27" s="274" t="s">
        <v>302</v>
      </c>
      <c r="C27" s="275"/>
      <c r="D27" s="284"/>
      <c r="E27" s="284"/>
      <c r="F27" s="285"/>
      <c r="G27" s="297"/>
      <c r="H27" s="287"/>
      <c r="I27" s="279">
        <f>SUM(H28:H31)</f>
        <v>3354466.8739726027</v>
      </c>
      <c r="J27" s="280">
        <f>+I27/$E$3</f>
        <v>1.1662908606946206E-2</v>
      </c>
      <c r="K27" s="133">
        <f>SUM(J28:J31)</f>
        <v>1.1662908606946206E-2</v>
      </c>
    </row>
    <row r="28" spans="1:11" s="144" customFormat="1" ht="12.75">
      <c r="A28" s="298"/>
      <c r="B28" s="299" t="s">
        <v>303</v>
      </c>
      <c r="C28" s="300" t="s">
        <v>304</v>
      </c>
      <c r="D28" s="301">
        <v>5.9999999999999995E-4</v>
      </c>
      <c r="E28" s="302"/>
      <c r="F28" s="303">
        <f>+$E$3</f>
        <v>287618379.51595932</v>
      </c>
      <c r="G28" s="304">
        <f>+$G$25</f>
        <v>1.4255</v>
      </c>
      <c r="H28" s="305">
        <f>+(((F28*G28*D28)/365)*($E$5+120))*1.19</f>
        <v>144364.9315068493</v>
      </c>
      <c r="I28" s="306"/>
      <c r="J28" s="307">
        <f t="shared" ref="J28:J31" si="2">+H28/$E$3</f>
        <v>5.0193221917808211E-4</v>
      </c>
    </row>
    <row r="29" spans="1:11" s="144" customFormat="1" ht="12.75">
      <c r="A29" s="298"/>
      <c r="B29" s="299" t="s">
        <v>305</v>
      </c>
      <c r="C29" s="300" t="s">
        <v>304</v>
      </c>
      <c r="D29" s="301">
        <v>8.9999999999999998E-4</v>
      </c>
      <c r="E29" s="302"/>
      <c r="F29" s="303">
        <f t="shared" ref="F29:F30" si="3">+$E$3</f>
        <v>287618379.51595932</v>
      </c>
      <c r="G29" s="304">
        <f t="shared" ref="G29:G31" si="4">+$G$25</f>
        <v>1.4255</v>
      </c>
      <c r="H29" s="305">
        <f>+(((F29*G29*D29)/365)*(1825))*1.19</f>
        <v>2195550</v>
      </c>
      <c r="I29" s="306"/>
      <c r="J29" s="307">
        <f t="shared" si="2"/>
        <v>7.6335524999999998E-3</v>
      </c>
    </row>
    <row r="30" spans="1:11" s="144" customFormat="1" ht="25.5">
      <c r="A30" s="290"/>
      <c r="B30" s="308" t="s">
        <v>306</v>
      </c>
      <c r="C30" s="300" t="s">
        <v>304</v>
      </c>
      <c r="D30" s="301">
        <v>5.0000000000000001E-4</v>
      </c>
      <c r="E30" s="302"/>
      <c r="F30" s="303">
        <f t="shared" si="3"/>
        <v>287618379.51595932</v>
      </c>
      <c r="G30" s="304">
        <f t="shared" si="4"/>
        <v>1.4255</v>
      </c>
      <c r="H30" s="305">
        <f>+(((F30*G30*D30)/365)*($E$5+1095))*1.19</f>
        <v>771951.36986301362</v>
      </c>
      <c r="I30" s="306"/>
      <c r="J30" s="307">
        <f t="shared" si="2"/>
        <v>2.6839431164383558E-3</v>
      </c>
      <c r="K30" s="110"/>
    </row>
    <row r="31" spans="1:11" s="144" customFormat="1" ht="12.75">
      <c r="A31" s="298"/>
      <c r="B31" s="299" t="s">
        <v>307</v>
      </c>
      <c r="C31" s="300" t="s">
        <v>304</v>
      </c>
      <c r="D31" s="301">
        <v>2.5000000000000001E-3</v>
      </c>
      <c r="E31" s="302"/>
      <c r="F31" s="303">
        <v>348000000</v>
      </c>
      <c r="G31" s="304">
        <f t="shared" si="4"/>
        <v>1.4255</v>
      </c>
      <c r="H31" s="305">
        <f>+(((F31*G31*D31)/365)*($E$5+0))*1.19</f>
        <v>242600.5726027397</v>
      </c>
      <c r="I31" s="306"/>
      <c r="J31" s="307">
        <f t="shared" si="2"/>
        <v>8.4348077132976934E-4</v>
      </c>
    </row>
    <row r="32" spans="1:11" s="144" customFormat="1" ht="12.75">
      <c r="A32" s="298"/>
      <c r="B32" s="299"/>
      <c r="C32" s="300"/>
      <c r="D32" s="301"/>
      <c r="E32" s="302"/>
      <c r="F32" s="303"/>
      <c r="G32" s="304"/>
      <c r="H32" s="305"/>
      <c r="I32" s="306"/>
      <c r="J32" s="307"/>
    </row>
    <row r="33" spans="1:11">
      <c r="A33" s="309">
        <v>2.2999999999999998</v>
      </c>
      <c r="B33" s="274" t="s">
        <v>308</v>
      </c>
      <c r="C33" s="310"/>
      <c r="D33" s="311"/>
      <c r="E33" s="311"/>
      <c r="F33" s="312"/>
      <c r="G33" s="313"/>
      <c r="H33" s="314"/>
      <c r="I33" s="315">
        <f>SUM(H34:H35)</f>
        <v>4440000</v>
      </c>
      <c r="J33" s="316">
        <f>+I33/$E$3</f>
        <v>1.5437121951219511E-2</v>
      </c>
      <c r="K33" s="145">
        <f>SUM(J34:J35)</f>
        <v>1.5437121951219511E-2</v>
      </c>
    </row>
    <row r="34" spans="1:11">
      <c r="A34" s="317"/>
      <c r="B34" s="318" t="s">
        <v>309</v>
      </c>
      <c r="C34" s="319" t="s">
        <v>287</v>
      </c>
      <c r="D34" s="320">
        <v>2</v>
      </c>
      <c r="E34" s="321">
        <v>1</v>
      </c>
      <c r="F34" s="322">
        <v>720000</v>
      </c>
      <c r="G34" s="323"/>
      <c r="H34" s="324">
        <f>+D34*F34</f>
        <v>1440000</v>
      </c>
      <c r="I34" s="325"/>
      <c r="J34" s="326">
        <f>+H34/$E$3</f>
        <v>5.0066341463414635E-3</v>
      </c>
      <c r="K34" s="134"/>
    </row>
    <row r="35" spans="1:11" ht="17.45" customHeight="1">
      <c r="A35" s="317"/>
      <c r="B35" s="327" t="s">
        <v>310</v>
      </c>
      <c r="C35" s="319" t="s">
        <v>311</v>
      </c>
      <c r="D35" s="320">
        <v>1</v>
      </c>
      <c r="E35" s="320"/>
      <c r="F35" s="322">
        <v>3000000</v>
      </c>
      <c r="G35" s="323"/>
      <c r="H35" s="324">
        <f>+F35*D35</f>
        <v>3000000</v>
      </c>
      <c r="I35" s="325"/>
      <c r="J35" s="326">
        <f>+H35/$E$3</f>
        <v>1.0430487804878048E-2</v>
      </c>
      <c r="K35" s="134"/>
    </row>
    <row r="36" spans="1:11" ht="17.45" customHeight="1">
      <c r="A36" s="317"/>
      <c r="B36" s="327"/>
      <c r="C36" s="319"/>
      <c r="D36" s="320"/>
      <c r="E36" s="320"/>
      <c r="F36" s="322"/>
      <c r="G36" s="323"/>
      <c r="H36" s="324"/>
      <c r="I36" s="325"/>
      <c r="J36" s="326"/>
      <c r="K36" s="134"/>
    </row>
    <row r="37" spans="1:11">
      <c r="A37" s="309">
        <v>2.4</v>
      </c>
      <c r="B37" s="274" t="s">
        <v>312</v>
      </c>
      <c r="C37" s="310"/>
      <c r="D37" s="311"/>
      <c r="E37" s="311"/>
      <c r="F37" s="312"/>
      <c r="G37" s="313"/>
      <c r="H37" s="314"/>
      <c r="I37" s="315">
        <f>SUM(H38:H45)</f>
        <v>58425000</v>
      </c>
      <c r="J37" s="328">
        <f>+I37/$E$3</f>
        <v>0.20313375</v>
      </c>
      <c r="K37" s="133">
        <f>SUM(J38:J45)</f>
        <v>0.20313375000000003</v>
      </c>
    </row>
    <row r="38" spans="1:11">
      <c r="A38" s="309"/>
      <c r="B38" s="329" t="s">
        <v>313</v>
      </c>
      <c r="C38" s="310" t="s">
        <v>304</v>
      </c>
      <c r="D38" s="330">
        <v>0.05</v>
      </c>
      <c r="E38" s="311"/>
      <c r="F38" s="312">
        <f>+$E$3</f>
        <v>287618379.51595932</v>
      </c>
      <c r="G38" s="331">
        <f>+$G$25</f>
        <v>1.4255</v>
      </c>
      <c r="H38" s="314">
        <f t="shared" ref="H38:H45" si="5">+D38*F38*G38</f>
        <v>20500000</v>
      </c>
      <c r="I38" s="332"/>
      <c r="J38" s="333">
        <f>+H38/$E$3</f>
        <v>7.1274999999999991E-2</v>
      </c>
      <c r="K38" s="110"/>
    </row>
    <row r="39" spans="1:11">
      <c r="A39" s="309"/>
      <c r="B39" s="329" t="s">
        <v>314</v>
      </c>
      <c r="C39" s="310" t="s">
        <v>304</v>
      </c>
      <c r="D39" s="330">
        <v>0.02</v>
      </c>
      <c r="E39" s="311"/>
      <c r="F39" s="312">
        <f t="shared" ref="F39:F45" si="6">+$E$3</f>
        <v>287618379.51595932</v>
      </c>
      <c r="G39" s="331">
        <f t="shared" ref="G39:G45" si="7">+$G$25</f>
        <v>1.4255</v>
      </c>
      <c r="H39" s="314">
        <f t="shared" si="5"/>
        <v>8200000</v>
      </c>
      <c r="I39" s="332"/>
      <c r="J39" s="333">
        <f t="shared" ref="J39:J45" si="8">+H39/$E$3</f>
        <v>2.8510000000000001E-2</v>
      </c>
      <c r="K39" s="110"/>
    </row>
    <row r="40" spans="1:11">
      <c r="A40" s="309"/>
      <c r="B40" s="329" t="s">
        <v>315</v>
      </c>
      <c r="C40" s="310" t="s">
        <v>304</v>
      </c>
      <c r="D40" s="330">
        <v>0.02</v>
      </c>
      <c r="E40" s="311"/>
      <c r="F40" s="312">
        <f t="shared" si="6"/>
        <v>287618379.51595932</v>
      </c>
      <c r="G40" s="331">
        <f t="shared" si="7"/>
        <v>1.4255</v>
      </c>
      <c r="H40" s="314">
        <f t="shared" si="5"/>
        <v>8200000</v>
      </c>
      <c r="I40" s="332"/>
      <c r="J40" s="333">
        <f t="shared" si="8"/>
        <v>2.8510000000000001E-2</v>
      </c>
      <c r="K40" s="110"/>
    </row>
    <row r="41" spans="1:11">
      <c r="A41" s="309"/>
      <c r="B41" s="329" t="s">
        <v>316</v>
      </c>
      <c r="C41" s="243" t="s">
        <v>304</v>
      </c>
      <c r="D41" s="330">
        <v>5.0000000000000001E-3</v>
      </c>
      <c r="E41" s="244"/>
      <c r="F41" s="312">
        <f t="shared" si="6"/>
        <v>287618379.51595932</v>
      </c>
      <c r="G41" s="331">
        <f t="shared" si="7"/>
        <v>1.4255</v>
      </c>
      <c r="H41" s="314">
        <f t="shared" si="5"/>
        <v>2050000</v>
      </c>
      <c r="I41" s="332"/>
      <c r="J41" s="333">
        <f t="shared" si="8"/>
        <v>7.1275000000000002E-3</v>
      </c>
      <c r="K41" s="110"/>
    </row>
    <row r="42" spans="1:11">
      <c r="A42" s="309"/>
      <c r="B42" s="329" t="s">
        <v>317</v>
      </c>
      <c r="C42" s="243" t="s">
        <v>304</v>
      </c>
      <c r="D42" s="330">
        <v>0.02</v>
      </c>
      <c r="E42" s="244"/>
      <c r="F42" s="312">
        <f t="shared" si="6"/>
        <v>287618379.51595932</v>
      </c>
      <c r="G42" s="331">
        <f t="shared" si="7"/>
        <v>1.4255</v>
      </c>
      <c r="H42" s="314">
        <f t="shared" si="5"/>
        <v>8200000</v>
      </c>
      <c r="I42" s="332"/>
      <c r="J42" s="333">
        <f t="shared" si="8"/>
        <v>2.8510000000000001E-2</v>
      </c>
      <c r="K42" s="110"/>
    </row>
    <row r="43" spans="1:11">
      <c r="A43" s="309"/>
      <c r="B43" s="329" t="s">
        <v>323</v>
      </c>
      <c r="C43" s="376" t="s">
        <v>304</v>
      </c>
      <c r="D43" s="330">
        <v>0.02</v>
      </c>
      <c r="E43" s="377"/>
      <c r="F43" s="312">
        <f t="shared" si="6"/>
        <v>287618379.51595932</v>
      </c>
      <c r="G43" s="331">
        <f t="shared" si="7"/>
        <v>1.4255</v>
      </c>
      <c r="H43" s="314">
        <f t="shared" si="5"/>
        <v>8200000</v>
      </c>
      <c r="I43" s="332"/>
      <c r="J43" s="333">
        <f t="shared" si="8"/>
        <v>2.8510000000000001E-2</v>
      </c>
      <c r="K43" s="110"/>
    </row>
    <row r="44" spans="1:11">
      <c r="A44" s="309"/>
      <c r="B44" s="329" t="s">
        <v>318</v>
      </c>
      <c r="C44" s="310" t="s">
        <v>304</v>
      </c>
      <c r="D44" s="330">
        <v>4.0000000000000001E-3</v>
      </c>
      <c r="E44" s="311"/>
      <c r="F44" s="312">
        <f t="shared" si="6"/>
        <v>287618379.51595932</v>
      </c>
      <c r="G44" s="331">
        <f t="shared" si="7"/>
        <v>1.4255</v>
      </c>
      <c r="H44" s="314">
        <f t="shared" si="5"/>
        <v>1640000.0000000002</v>
      </c>
      <c r="I44" s="332"/>
      <c r="J44" s="333">
        <f t="shared" si="8"/>
        <v>5.7020000000000005E-3</v>
      </c>
      <c r="K44" s="110"/>
    </row>
    <row r="45" spans="1:11" ht="15.75" thickBot="1">
      <c r="A45" s="309"/>
      <c r="B45" s="329" t="s">
        <v>319</v>
      </c>
      <c r="C45" s="310" t="s">
        <v>304</v>
      </c>
      <c r="D45" s="330">
        <v>3.5000000000000001E-3</v>
      </c>
      <c r="E45" s="334"/>
      <c r="F45" s="312">
        <f t="shared" si="6"/>
        <v>287618379.51595932</v>
      </c>
      <c r="G45" s="331">
        <f t="shared" si="7"/>
        <v>1.4255</v>
      </c>
      <c r="H45" s="314">
        <f t="shared" si="5"/>
        <v>1435000</v>
      </c>
      <c r="I45" s="335"/>
      <c r="J45" s="333">
        <f t="shared" si="8"/>
        <v>4.9892499999999998E-3</v>
      </c>
      <c r="K45" s="110"/>
    </row>
    <row r="46" spans="1:11" ht="15.75" thickBot="1">
      <c r="A46" s="369"/>
      <c r="B46" s="486" t="s">
        <v>320</v>
      </c>
      <c r="C46" s="486"/>
      <c r="D46" s="486"/>
      <c r="E46" s="370"/>
      <c r="F46" s="370"/>
      <c r="G46" s="371"/>
      <c r="H46" s="372"/>
      <c r="I46" s="373">
        <f>SUM(I10:I45)</f>
        <v>105121915.87397259</v>
      </c>
      <c r="J46" s="374">
        <f>+ROUND((J9+J23),4)</f>
        <v>0.36549999999999999</v>
      </c>
      <c r="K46" s="133">
        <f>+J23+J9</f>
        <v>0.36549095384962915</v>
      </c>
    </row>
    <row r="47" spans="1:11" ht="15.75" thickBot="1">
      <c r="A47" s="290"/>
      <c r="B47" s="336" t="s">
        <v>321</v>
      </c>
      <c r="C47" s="275"/>
      <c r="D47" s="284"/>
      <c r="E47" s="284"/>
      <c r="F47" s="285"/>
      <c r="G47" s="286"/>
      <c r="H47" s="287"/>
      <c r="I47" s="337">
        <v>0.06</v>
      </c>
      <c r="J47" s="338">
        <v>0.06</v>
      </c>
      <c r="K47" s="133">
        <f>J47</f>
        <v>0.06</v>
      </c>
    </row>
    <row r="48" spans="1:11" ht="15.75" thickBot="1">
      <c r="A48" s="339"/>
      <c r="B48" s="340" t="s">
        <v>322</v>
      </c>
      <c r="C48" s="341"/>
      <c r="D48" s="342"/>
      <c r="E48" s="342"/>
      <c r="F48" s="343"/>
      <c r="G48" s="344"/>
      <c r="H48" s="345"/>
      <c r="I48" s="346"/>
      <c r="J48" s="375">
        <f>SUM(J46+J47)</f>
        <v>0.42549999999999999</v>
      </c>
      <c r="K48" s="133">
        <f>SUM(K46:K47)</f>
        <v>0.42549095384962915</v>
      </c>
    </row>
  </sheetData>
  <mergeCells count="5">
    <mergeCell ref="B1:J1"/>
    <mergeCell ref="C3:D3"/>
    <mergeCell ref="C4:D4"/>
    <mergeCell ref="C5:D5"/>
    <mergeCell ref="B46:D4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vt:lpstr>
      <vt:lpstr>PRESUPUESTO UNITARIO</vt:lpstr>
      <vt:lpstr>APU</vt:lpstr>
      <vt:lpstr>AIU</vt:lpstr>
      <vt:lpstr>APU!Área_de_impresión</vt:lpstr>
      <vt:lpstr>'PRESUPUESTO UNITARIO'!Área_de_impresión</vt:lpstr>
      <vt:lpstr>'PRESUPUESTO UNITARIO'!Títulos_a_imprimir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Vanessa Avila Hernandez</cp:lastModifiedBy>
  <cp:revision/>
  <cp:lastPrinted>2024-02-22T19:50:27Z</cp:lastPrinted>
  <dcterms:created xsi:type="dcterms:W3CDTF">2021-02-15T16:28:47Z</dcterms:created>
  <dcterms:modified xsi:type="dcterms:W3CDTF">2024-03-19T16:36:57Z</dcterms:modified>
  <cp:category/>
  <cp:contentStatus/>
</cp:coreProperties>
</file>