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73184994_fiscalia_gov_co/Documents/GESTION CONTRACTUAL/2024/Procesos/ESTUDIOS DEL SECTOR 2024/17. LPO 0017 Mtto. Sedes/Evaluacion Economica/"/>
    </mc:Choice>
  </mc:AlternateContent>
  <xr:revisionPtr revIDLastSave="3747" documentId="13_ncr:1_{E3098B58-8A37-9D40-ADB7-C2069E7F1E6E}" xr6:coauthVersionLast="47" xr6:coauthVersionMax="47" xr10:uidLastSave="{0FD1A83A-EE1D-4837-8857-2FC6084F08D3}"/>
  <bookViews>
    <workbookView xWindow="-120" yWindow="-120" windowWidth="29040" windowHeight="15720" tabRatio="857" firstSheet="10" activeTab="10" xr2:uid="{00000000-000D-0000-FFFF-FFFF00000000}"/>
  </bookViews>
  <sheets>
    <sheet name="COSTOS GIRARDOT" sheetId="15" state="hidden" r:id="rId1"/>
    <sheet name="COSTOS OTRAS SEDES" sheetId="31" state="hidden" r:id="rId2"/>
    <sheet name="Ev Economica 1" sheetId="4" state="hidden" r:id="rId3"/>
    <sheet name="Ev Economica 1 (2)" sheetId="45" state="hidden" r:id="rId4"/>
    <sheet name="Ev Economica 1 (3)" sheetId="46" state="hidden" r:id="rId5"/>
    <sheet name="Ev Economica 1 (4)" sheetId="47" state="hidden" r:id="rId6"/>
    <sheet name="Ev Economica 1 (5)" sheetId="48" state="hidden" r:id="rId7"/>
    <sheet name="Ev Economica 1 (6)" sheetId="49" state="hidden" r:id="rId8"/>
    <sheet name="Ev Economica 1 (7)" sheetId="50" state="hidden" r:id="rId9"/>
    <sheet name="Analisis Inicial" sheetId="51" state="hidden" r:id="rId10"/>
    <sheet name="Puntaje en Orden Ofertas" sheetId="13" r:id="rId11"/>
    <sheet name="Hoja1" sheetId="52" state="hidden" r:id="rId12"/>
  </sheets>
  <definedNames>
    <definedName name="_xlnm._FilterDatabase" localSheetId="9" hidden="1">'Analisis Inicial'!$A$1:$I$102</definedName>
    <definedName name="_xlnm._FilterDatabase" localSheetId="2" hidden="1">'Ev Economica 1'!$A$1:$G$16</definedName>
    <definedName name="_xlnm._FilterDatabase" localSheetId="3" hidden="1">'Ev Economica 1 (2)'!$A$1:$G$16</definedName>
    <definedName name="_xlnm._FilterDatabase" localSheetId="4" hidden="1">'Ev Economica 1 (3)'!$A$1:$G$16</definedName>
    <definedName name="_xlnm._FilterDatabase" localSheetId="5" hidden="1">'Ev Economica 1 (4)'!$A$1:$G$16</definedName>
    <definedName name="_xlnm._FilterDatabase" localSheetId="6" hidden="1">'Ev Economica 1 (5)'!$A$1:$G$16</definedName>
    <definedName name="_xlnm._FilterDatabase" localSheetId="7" hidden="1">'Ev Economica 1 (6)'!$A$1:$G$16</definedName>
    <definedName name="_xlnm._FilterDatabase" localSheetId="8" hidden="1">'Ev Economica 1 (7)'!$A$1:$G$16</definedName>
    <definedName name="_xlnm._FilterDatabase" localSheetId="11" hidden="1">Hoja1!$A$1:$I$54</definedName>
    <definedName name="_xlnm._FilterDatabase" localSheetId="10" hidden="1">'Puntaje en Orden Ofertas'!$A$2:$J$103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2" i="13" l="1"/>
  <c r="H97" i="13"/>
  <c r="H96" i="13"/>
  <c r="H94" i="13"/>
  <c r="H93" i="13"/>
  <c r="H91" i="13"/>
  <c r="H88" i="13"/>
  <c r="H86" i="13"/>
  <c r="H85" i="13"/>
  <c r="H84" i="13"/>
  <c r="H82" i="13"/>
  <c r="H80" i="13"/>
  <c r="H77" i="13"/>
  <c r="H76" i="13"/>
  <c r="H75" i="13"/>
  <c r="H74" i="13"/>
  <c r="H73" i="13"/>
  <c r="H70" i="13"/>
  <c r="H69" i="13"/>
  <c r="H68" i="13"/>
  <c r="H67" i="13"/>
  <c r="H66" i="13"/>
  <c r="H61" i="13"/>
  <c r="H56" i="13"/>
  <c r="H55" i="13"/>
  <c r="H54" i="13"/>
  <c r="H53" i="13"/>
  <c r="H52" i="13"/>
  <c r="H51" i="13"/>
  <c r="H45" i="13"/>
  <c r="H43" i="13"/>
  <c r="H42" i="13"/>
  <c r="H41" i="13"/>
  <c r="H40" i="13"/>
  <c r="H38" i="13"/>
  <c r="H37" i="13"/>
  <c r="H36" i="13"/>
  <c r="H34" i="13"/>
  <c r="H33" i="13"/>
  <c r="H31" i="13"/>
  <c r="H26" i="13"/>
  <c r="H24" i="13"/>
  <c r="H21" i="13"/>
  <c r="H18" i="13"/>
  <c r="H16" i="13"/>
  <c r="H13" i="13"/>
  <c r="H9" i="13"/>
  <c r="H7" i="13"/>
  <c r="H6" i="13"/>
  <c r="I54" i="52"/>
  <c r="G54" i="52"/>
  <c r="I53" i="52"/>
  <c r="G53" i="52"/>
  <c r="I52" i="52"/>
  <c r="G52" i="52"/>
  <c r="I51" i="52"/>
  <c r="G51" i="52"/>
  <c r="I50" i="52"/>
  <c r="G50" i="52"/>
  <c r="I49" i="52"/>
  <c r="G49" i="52"/>
  <c r="I48" i="52"/>
  <c r="G48" i="52"/>
  <c r="I47" i="52"/>
  <c r="G47" i="52"/>
  <c r="I46" i="52"/>
  <c r="G46" i="52"/>
  <c r="I45" i="52"/>
  <c r="G45" i="52"/>
  <c r="I44" i="52"/>
  <c r="G44" i="52"/>
  <c r="I43" i="52"/>
  <c r="G43" i="52"/>
  <c r="I42" i="52"/>
  <c r="G42" i="52"/>
  <c r="I41" i="52"/>
  <c r="G41" i="52"/>
  <c r="I40" i="52"/>
  <c r="G40" i="52"/>
  <c r="I39" i="52"/>
  <c r="G39" i="52"/>
  <c r="I38" i="52"/>
  <c r="G38" i="52"/>
  <c r="I37" i="52"/>
  <c r="G37" i="52"/>
  <c r="I36" i="52"/>
  <c r="G36" i="52"/>
  <c r="I35" i="52"/>
  <c r="G35" i="52"/>
  <c r="I34" i="52"/>
  <c r="G34" i="52"/>
  <c r="I33" i="52"/>
  <c r="G33" i="52"/>
  <c r="I32" i="52"/>
  <c r="G32" i="52"/>
  <c r="I31" i="52"/>
  <c r="G31" i="52"/>
  <c r="I30" i="52"/>
  <c r="G30" i="52"/>
  <c r="I29" i="52"/>
  <c r="G29" i="52"/>
  <c r="I28" i="52"/>
  <c r="G28" i="52"/>
  <c r="I27" i="52"/>
  <c r="G27" i="52"/>
  <c r="I26" i="52"/>
  <c r="G26" i="52"/>
  <c r="I25" i="52"/>
  <c r="G25" i="52"/>
  <c r="I24" i="52"/>
  <c r="G24" i="52"/>
  <c r="I23" i="52"/>
  <c r="G23" i="52"/>
  <c r="I22" i="52"/>
  <c r="G22" i="52"/>
  <c r="I21" i="52"/>
  <c r="G21" i="52"/>
  <c r="I20" i="52"/>
  <c r="G20" i="52"/>
  <c r="I19" i="52"/>
  <c r="G19" i="52"/>
  <c r="I18" i="52"/>
  <c r="G18" i="52"/>
  <c r="I17" i="52"/>
  <c r="G17" i="52"/>
  <c r="I16" i="52"/>
  <c r="G16" i="52"/>
  <c r="I15" i="52"/>
  <c r="G15" i="52"/>
  <c r="I14" i="52"/>
  <c r="G14" i="52"/>
  <c r="I13" i="52"/>
  <c r="G13" i="52"/>
  <c r="I12" i="52"/>
  <c r="G12" i="52"/>
  <c r="I11" i="52"/>
  <c r="G11" i="52"/>
  <c r="I10" i="52"/>
  <c r="G10" i="52"/>
  <c r="I9" i="52"/>
  <c r="G9" i="52"/>
  <c r="I8" i="52"/>
  <c r="G8" i="52"/>
  <c r="I7" i="52"/>
  <c r="G7" i="52"/>
  <c r="I6" i="52"/>
  <c r="G6" i="52"/>
  <c r="I5" i="52"/>
  <c r="G5" i="52"/>
  <c r="I4" i="52"/>
  <c r="G4" i="52"/>
  <c r="I3" i="52"/>
  <c r="G3" i="52"/>
  <c r="I2" i="52"/>
  <c r="G2" i="52"/>
  <c r="G3" i="51" l="1"/>
  <c r="I3" i="51" l="1"/>
  <c r="G4" i="51"/>
  <c r="I4" i="51"/>
  <c r="G5" i="51"/>
  <c r="I5" i="51"/>
  <c r="G6" i="51"/>
  <c r="I6" i="51"/>
  <c r="G8" i="51"/>
  <c r="I8" i="51"/>
  <c r="G12" i="51"/>
  <c r="I12" i="51"/>
  <c r="G15" i="51"/>
  <c r="I15" i="51"/>
  <c r="G17" i="51"/>
  <c r="I17" i="51"/>
  <c r="G20" i="51"/>
  <c r="I20" i="51"/>
  <c r="G23" i="51"/>
  <c r="I23" i="51"/>
  <c r="G25" i="51"/>
  <c r="I25" i="51"/>
  <c r="G30" i="51"/>
  <c r="I30" i="51"/>
  <c r="G32" i="51"/>
  <c r="I32" i="51"/>
  <c r="G33" i="51"/>
  <c r="I33" i="51"/>
  <c r="G35" i="51"/>
  <c r="I35" i="51"/>
  <c r="G36" i="51"/>
  <c r="I36" i="51"/>
  <c r="G37" i="51"/>
  <c r="I37" i="51"/>
  <c r="G39" i="51"/>
  <c r="I39" i="51"/>
  <c r="G40" i="51"/>
  <c r="I40" i="51"/>
  <c r="G41" i="51"/>
  <c r="I41" i="51"/>
  <c r="G42" i="51"/>
  <c r="I42" i="51"/>
  <c r="G44" i="51"/>
  <c r="I44" i="51"/>
  <c r="G50" i="51"/>
  <c r="I50" i="51"/>
  <c r="G51" i="51"/>
  <c r="I51" i="51"/>
  <c r="G52" i="51"/>
  <c r="I52" i="51"/>
  <c r="G53" i="51"/>
  <c r="I53" i="51"/>
  <c r="G54" i="51"/>
  <c r="I54" i="51"/>
  <c r="G55" i="51"/>
  <c r="I55" i="51"/>
  <c r="G56" i="51"/>
  <c r="I56" i="51"/>
  <c r="G60" i="51"/>
  <c r="I60" i="51"/>
  <c r="G65" i="51"/>
  <c r="I65" i="51"/>
  <c r="G66" i="51"/>
  <c r="I66" i="51"/>
  <c r="G67" i="51"/>
  <c r="I67" i="51"/>
  <c r="G68" i="51"/>
  <c r="I68" i="51"/>
  <c r="G69" i="51"/>
  <c r="I69" i="51"/>
  <c r="G72" i="51"/>
  <c r="I72" i="51"/>
  <c r="G73" i="51"/>
  <c r="I73" i="51"/>
  <c r="G74" i="51"/>
  <c r="I74" i="51"/>
  <c r="G75" i="51"/>
  <c r="I75" i="51"/>
  <c r="G76" i="51"/>
  <c r="I76" i="51"/>
  <c r="G79" i="51"/>
  <c r="I79" i="51"/>
  <c r="G81" i="51"/>
  <c r="I81" i="51"/>
  <c r="G83" i="51"/>
  <c r="I83" i="51"/>
  <c r="G84" i="51"/>
  <c r="I84" i="51"/>
  <c r="G85" i="51"/>
  <c r="I85" i="51"/>
  <c r="G87" i="51"/>
  <c r="I87" i="51"/>
  <c r="G90" i="51"/>
  <c r="I90" i="51"/>
  <c r="G91" i="51"/>
  <c r="I91" i="51"/>
  <c r="G92" i="51"/>
  <c r="I92" i="51"/>
  <c r="G93" i="51"/>
  <c r="I93" i="51"/>
  <c r="G95" i="51"/>
  <c r="I95" i="51"/>
  <c r="G96" i="51"/>
  <c r="I96" i="51"/>
  <c r="G101" i="51"/>
  <c r="I101" i="51"/>
  <c r="E102" i="13"/>
  <c r="G102" i="13" s="1"/>
  <c r="E73" i="13"/>
  <c r="G73" i="13" s="1"/>
  <c r="E74" i="13"/>
  <c r="G74" i="13" s="1"/>
  <c r="E75" i="13"/>
  <c r="G75" i="13"/>
  <c r="E76" i="13"/>
  <c r="G76" i="13" s="1"/>
  <c r="E77" i="13"/>
  <c r="G77" i="13" s="1"/>
  <c r="E80" i="13"/>
  <c r="G80" i="13" s="1"/>
  <c r="E82" i="13"/>
  <c r="G82" i="13" s="1"/>
  <c r="E84" i="13"/>
  <c r="G84" i="13" s="1"/>
  <c r="E85" i="13"/>
  <c r="G85" i="13" s="1"/>
  <c r="E86" i="13"/>
  <c r="G86" i="13" s="1"/>
  <c r="E88" i="13"/>
  <c r="G88" i="13" s="1"/>
  <c r="E91" i="13"/>
  <c r="G91" i="13" s="1"/>
  <c r="E92" i="13"/>
  <c r="G92" i="13" s="1"/>
  <c r="E93" i="13"/>
  <c r="G93" i="13" s="1"/>
  <c r="E94" i="13"/>
  <c r="G94" i="13" s="1"/>
  <c r="E96" i="13"/>
  <c r="G96" i="13" s="1"/>
  <c r="E97" i="13"/>
  <c r="G97" i="13" s="1"/>
  <c r="J8" i="13" l="1"/>
  <c r="J18" i="13"/>
  <c r="J22" i="13"/>
  <c r="J30" i="13"/>
  <c r="J32" i="13"/>
  <c r="J65" i="13"/>
  <c r="N9" i="49"/>
  <c r="Y36" i="48" l="1"/>
  <c r="Y35" i="48"/>
  <c r="Y34" i="48"/>
  <c r="Y13" i="48"/>
  <c r="Y12" i="48"/>
  <c r="Y11" i="48"/>
  <c r="Y6" i="47" l="1"/>
  <c r="Y5" i="47"/>
  <c r="Y4" i="47"/>
  <c r="Y3" i="47"/>
  <c r="Y2" i="47"/>
  <c r="O8" i="47" l="1"/>
  <c r="O7" i="47"/>
  <c r="O6" i="47"/>
  <c r="O5" i="47"/>
  <c r="O4" i="47"/>
  <c r="O2" i="47"/>
  <c r="N9" i="47" l="1"/>
  <c r="L36" i="45" l="1"/>
  <c r="L35" i="45"/>
  <c r="L34" i="45"/>
  <c r="L13" i="45"/>
  <c r="L12" i="45"/>
  <c r="L11" i="45"/>
  <c r="F6" i="45" l="1"/>
  <c r="F9" i="45" s="1"/>
  <c r="F13" i="45" s="1"/>
  <c r="F5" i="45"/>
  <c r="F4" i="45"/>
  <c r="F3" i="45"/>
  <c r="F2" i="45"/>
  <c r="V38" i="50"/>
  <c r="V39" i="50" s="1"/>
  <c r="E38" i="50"/>
  <c r="Y32" i="50"/>
  <c r="Z32" i="50" s="1"/>
  <c r="W32" i="50"/>
  <c r="W34" i="50" s="1"/>
  <c r="T32" i="50"/>
  <c r="U32" i="50" s="1"/>
  <c r="R32" i="50"/>
  <c r="P32" i="50"/>
  <c r="Q32" i="50" s="1"/>
  <c r="N32" i="50"/>
  <c r="L32" i="50"/>
  <c r="M32" i="50" s="1"/>
  <c r="J32" i="50"/>
  <c r="H32" i="50"/>
  <c r="I32" i="50" s="1"/>
  <c r="F32" i="50"/>
  <c r="Z31" i="50"/>
  <c r="X31" i="50"/>
  <c r="U31" i="50"/>
  <c r="S31" i="50"/>
  <c r="Q31" i="50"/>
  <c r="O31" i="50"/>
  <c r="M31" i="50"/>
  <c r="K31" i="50"/>
  <c r="I31" i="50"/>
  <c r="G31" i="50"/>
  <c r="Z30" i="50"/>
  <c r="X30" i="50"/>
  <c r="U30" i="50"/>
  <c r="S30" i="50"/>
  <c r="Q30" i="50"/>
  <c r="O30" i="50"/>
  <c r="M30" i="50"/>
  <c r="K30" i="50"/>
  <c r="I30" i="50"/>
  <c r="G30" i="50"/>
  <c r="Z29" i="50"/>
  <c r="X29" i="50"/>
  <c r="U29" i="50"/>
  <c r="S29" i="50"/>
  <c r="Q29" i="50"/>
  <c r="O29" i="50"/>
  <c r="M29" i="50"/>
  <c r="K29" i="50"/>
  <c r="I29" i="50"/>
  <c r="G29" i="50"/>
  <c r="Z28" i="50"/>
  <c r="X28" i="50"/>
  <c r="U28" i="50"/>
  <c r="S28" i="50"/>
  <c r="Q28" i="50"/>
  <c r="O28" i="50"/>
  <c r="M28" i="50"/>
  <c r="K28" i="50"/>
  <c r="I28" i="50"/>
  <c r="G28" i="50"/>
  <c r="Z27" i="50"/>
  <c r="X27" i="50"/>
  <c r="U27" i="50"/>
  <c r="S27" i="50"/>
  <c r="Q27" i="50"/>
  <c r="O27" i="50"/>
  <c r="M27" i="50"/>
  <c r="K27" i="50"/>
  <c r="I27" i="50"/>
  <c r="G27" i="50"/>
  <c r="Z26" i="50"/>
  <c r="X26" i="50"/>
  <c r="U26" i="50"/>
  <c r="S26" i="50"/>
  <c r="Q26" i="50"/>
  <c r="O26" i="50"/>
  <c r="M26" i="50"/>
  <c r="K26" i="50"/>
  <c r="I26" i="50"/>
  <c r="G26" i="50"/>
  <c r="Z25" i="50"/>
  <c r="X25" i="50"/>
  <c r="U25" i="50"/>
  <c r="S25" i="50"/>
  <c r="Q25" i="50"/>
  <c r="O25" i="50"/>
  <c r="M25" i="50"/>
  <c r="K25" i="50"/>
  <c r="I25" i="50"/>
  <c r="G25" i="50"/>
  <c r="Z24" i="50"/>
  <c r="X24" i="50"/>
  <c r="U24" i="50"/>
  <c r="S24" i="50"/>
  <c r="Q24" i="50"/>
  <c r="O24" i="50"/>
  <c r="M24" i="50"/>
  <c r="K24" i="50"/>
  <c r="I24" i="50"/>
  <c r="G24" i="50"/>
  <c r="Z23" i="50"/>
  <c r="X23" i="50"/>
  <c r="U23" i="50"/>
  <c r="S23" i="50"/>
  <c r="Q23" i="50"/>
  <c r="O23" i="50"/>
  <c r="M23" i="50"/>
  <c r="K23" i="50"/>
  <c r="I23" i="50"/>
  <c r="G23" i="50"/>
  <c r="Z22" i="50"/>
  <c r="X22" i="50"/>
  <c r="U22" i="50"/>
  <c r="S22" i="50"/>
  <c r="Q22" i="50"/>
  <c r="O22" i="50"/>
  <c r="M22" i="50"/>
  <c r="K22" i="50"/>
  <c r="I22" i="50"/>
  <c r="G22" i="50"/>
  <c r="Z21" i="50"/>
  <c r="X21" i="50"/>
  <c r="U21" i="50"/>
  <c r="S21" i="50"/>
  <c r="Q21" i="50"/>
  <c r="O21" i="50"/>
  <c r="M21" i="50"/>
  <c r="K21" i="50"/>
  <c r="I21" i="50"/>
  <c r="G21" i="50"/>
  <c r="Z20" i="50"/>
  <c r="X20" i="50"/>
  <c r="U20" i="50"/>
  <c r="S20" i="50"/>
  <c r="Q20" i="50"/>
  <c r="O20" i="50"/>
  <c r="M20" i="50"/>
  <c r="K20" i="50"/>
  <c r="I20" i="50"/>
  <c r="G20" i="50"/>
  <c r="Y19" i="50"/>
  <c r="W19" i="50"/>
  <c r="T19" i="50"/>
  <c r="R19" i="50"/>
  <c r="P19" i="50"/>
  <c r="N19" i="50"/>
  <c r="L19" i="50"/>
  <c r="J19" i="50"/>
  <c r="H19" i="50"/>
  <c r="F19" i="50"/>
  <c r="V15" i="50"/>
  <c r="E15" i="50"/>
  <c r="L13" i="50"/>
  <c r="Y9" i="50"/>
  <c r="W9" i="50"/>
  <c r="V9" i="50"/>
  <c r="V16" i="50" s="1"/>
  <c r="T9" i="50"/>
  <c r="T11" i="50" s="1"/>
  <c r="R9" i="50"/>
  <c r="R13" i="50" s="1"/>
  <c r="P9" i="50"/>
  <c r="P12" i="50" s="1"/>
  <c r="Q12" i="50" s="1"/>
  <c r="N9" i="50"/>
  <c r="N13" i="50" s="1"/>
  <c r="L9" i="50"/>
  <c r="L11" i="50" s="1"/>
  <c r="J9" i="50"/>
  <c r="J13" i="50" s="1"/>
  <c r="H9" i="50"/>
  <c r="H13" i="50" s="1"/>
  <c r="F9" i="50"/>
  <c r="F13" i="50" s="1"/>
  <c r="E9" i="50"/>
  <c r="Z8" i="50"/>
  <c r="X8" i="50"/>
  <c r="U8" i="50"/>
  <c r="S8" i="50"/>
  <c r="Q8" i="50"/>
  <c r="O8" i="50"/>
  <c r="M8" i="50"/>
  <c r="K8" i="50"/>
  <c r="I8" i="50"/>
  <c r="G8" i="50"/>
  <c r="Z7" i="50"/>
  <c r="X7" i="50"/>
  <c r="U7" i="50"/>
  <c r="S7" i="50"/>
  <c r="Q7" i="50"/>
  <c r="O7" i="50"/>
  <c r="M7" i="50"/>
  <c r="K7" i="50"/>
  <c r="I7" i="50"/>
  <c r="G7" i="50"/>
  <c r="Z6" i="50"/>
  <c r="X6" i="50"/>
  <c r="U6" i="50"/>
  <c r="S6" i="50"/>
  <c r="Q6" i="50"/>
  <c r="O6" i="50"/>
  <c r="M6" i="50"/>
  <c r="K6" i="50"/>
  <c r="I6" i="50"/>
  <c r="G6" i="50"/>
  <c r="Z5" i="50"/>
  <c r="X5" i="50"/>
  <c r="U5" i="50"/>
  <c r="S5" i="50"/>
  <c r="Q5" i="50"/>
  <c r="O5" i="50"/>
  <c r="M5" i="50"/>
  <c r="K5" i="50"/>
  <c r="I5" i="50"/>
  <c r="G5" i="50"/>
  <c r="Z4" i="50"/>
  <c r="X4" i="50"/>
  <c r="U4" i="50"/>
  <c r="S4" i="50"/>
  <c r="Q4" i="50"/>
  <c r="O4" i="50"/>
  <c r="M4" i="50"/>
  <c r="K4" i="50"/>
  <c r="I4" i="50"/>
  <c r="G4" i="50"/>
  <c r="Z3" i="50"/>
  <c r="X3" i="50"/>
  <c r="U3" i="50"/>
  <c r="S3" i="50"/>
  <c r="Q3" i="50"/>
  <c r="O3" i="50"/>
  <c r="M3" i="50"/>
  <c r="K3" i="50"/>
  <c r="I3" i="50"/>
  <c r="G3" i="50"/>
  <c r="Z2" i="50"/>
  <c r="X2" i="50"/>
  <c r="U2" i="50"/>
  <c r="S2" i="50"/>
  <c r="Q2" i="50"/>
  <c r="O2" i="50"/>
  <c r="M2" i="50"/>
  <c r="K2" i="50"/>
  <c r="I2" i="50"/>
  <c r="G2" i="50"/>
  <c r="V38" i="49"/>
  <c r="V39" i="49" s="1"/>
  <c r="E38" i="49"/>
  <c r="Y32" i="49"/>
  <c r="Z32" i="49" s="1"/>
  <c r="W32" i="49"/>
  <c r="W36" i="49" s="1"/>
  <c r="T32" i="49"/>
  <c r="U32" i="49" s="1"/>
  <c r="R32" i="49"/>
  <c r="P32" i="49"/>
  <c r="Q32" i="49" s="1"/>
  <c r="N32" i="49"/>
  <c r="L32" i="49"/>
  <c r="M32" i="49" s="1"/>
  <c r="J32" i="49"/>
  <c r="H32" i="49"/>
  <c r="I32" i="49" s="1"/>
  <c r="F32" i="49"/>
  <c r="Z31" i="49"/>
  <c r="X31" i="49"/>
  <c r="U31" i="49"/>
  <c r="S31" i="49"/>
  <c r="Q31" i="49"/>
  <c r="O31" i="49"/>
  <c r="M31" i="49"/>
  <c r="K31" i="49"/>
  <c r="I31" i="49"/>
  <c r="G31" i="49"/>
  <c r="Z30" i="49"/>
  <c r="X30" i="49"/>
  <c r="U30" i="49"/>
  <c r="S30" i="49"/>
  <c r="Q30" i="49"/>
  <c r="O30" i="49"/>
  <c r="M30" i="49"/>
  <c r="K30" i="49"/>
  <c r="I30" i="49"/>
  <c r="G30" i="49"/>
  <c r="Z29" i="49"/>
  <c r="X29" i="49"/>
  <c r="U29" i="49"/>
  <c r="S29" i="49"/>
  <c r="Q29" i="49"/>
  <c r="O29" i="49"/>
  <c r="M29" i="49"/>
  <c r="K29" i="49"/>
  <c r="I29" i="49"/>
  <c r="G29" i="49"/>
  <c r="Z28" i="49"/>
  <c r="X28" i="49"/>
  <c r="U28" i="49"/>
  <c r="S28" i="49"/>
  <c r="Q28" i="49"/>
  <c r="O28" i="49"/>
  <c r="M28" i="49"/>
  <c r="K28" i="49"/>
  <c r="I28" i="49"/>
  <c r="G28" i="49"/>
  <c r="Z27" i="49"/>
  <c r="X27" i="49"/>
  <c r="U27" i="49"/>
  <c r="S27" i="49"/>
  <c r="Q27" i="49"/>
  <c r="O27" i="49"/>
  <c r="M27" i="49"/>
  <c r="K27" i="49"/>
  <c r="I27" i="49"/>
  <c r="G27" i="49"/>
  <c r="Z26" i="49"/>
  <c r="X26" i="49"/>
  <c r="U26" i="49"/>
  <c r="S26" i="49"/>
  <c r="Q26" i="49"/>
  <c r="O26" i="49"/>
  <c r="M26" i="49"/>
  <c r="K26" i="49"/>
  <c r="I26" i="49"/>
  <c r="G26" i="49"/>
  <c r="Z25" i="49"/>
  <c r="X25" i="49"/>
  <c r="U25" i="49"/>
  <c r="S25" i="49"/>
  <c r="Q25" i="49"/>
  <c r="O25" i="49"/>
  <c r="M25" i="49"/>
  <c r="K25" i="49"/>
  <c r="I25" i="49"/>
  <c r="G25" i="49"/>
  <c r="Z24" i="49"/>
  <c r="X24" i="49"/>
  <c r="U24" i="49"/>
  <c r="S24" i="49"/>
  <c r="Q24" i="49"/>
  <c r="O24" i="49"/>
  <c r="M24" i="49"/>
  <c r="K24" i="49"/>
  <c r="I24" i="49"/>
  <c r="G24" i="49"/>
  <c r="Z23" i="49"/>
  <c r="X23" i="49"/>
  <c r="U23" i="49"/>
  <c r="S23" i="49"/>
  <c r="Q23" i="49"/>
  <c r="O23" i="49"/>
  <c r="M23" i="49"/>
  <c r="K23" i="49"/>
  <c r="I23" i="49"/>
  <c r="G23" i="49"/>
  <c r="Z22" i="49"/>
  <c r="X22" i="49"/>
  <c r="U22" i="49"/>
  <c r="S22" i="49"/>
  <c r="Q22" i="49"/>
  <c r="O22" i="49"/>
  <c r="M22" i="49"/>
  <c r="K22" i="49"/>
  <c r="I22" i="49"/>
  <c r="G22" i="49"/>
  <c r="Z21" i="49"/>
  <c r="X21" i="49"/>
  <c r="U21" i="49"/>
  <c r="S21" i="49"/>
  <c r="Q21" i="49"/>
  <c r="O21" i="49"/>
  <c r="M21" i="49"/>
  <c r="K21" i="49"/>
  <c r="I21" i="49"/>
  <c r="G21" i="49"/>
  <c r="Z20" i="49"/>
  <c r="X20" i="49"/>
  <c r="U20" i="49"/>
  <c r="S20" i="49"/>
  <c r="Q20" i="49"/>
  <c r="O20" i="49"/>
  <c r="M20" i="49"/>
  <c r="K20" i="49"/>
  <c r="I20" i="49"/>
  <c r="G20" i="49"/>
  <c r="Y19" i="49"/>
  <c r="W19" i="49"/>
  <c r="T19" i="49"/>
  <c r="R19" i="49"/>
  <c r="P19" i="49"/>
  <c r="N19" i="49"/>
  <c r="L19" i="49"/>
  <c r="J19" i="49"/>
  <c r="H19" i="49"/>
  <c r="F19" i="49"/>
  <c r="V15" i="49"/>
  <c r="E15" i="49"/>
  <c r="Y9" i="49"/>
  <c r="Y11" i="49" s="1"/>
  <c r="W9" i="49"/>
  <c r="V9" i="49"/>
  <c r="V16" i="49" s="1"/>
  <c r="T9" i="49"/>
  <c r="T13" i="49" s="1"/>
  <c r="T14" i="49" s="1"/>
  <c r="U14" i="49" s="1"/>
  <c r="R9" i="49"/>
  <c r="R13" i="49" s="1"/>
  <c r="P9" i="49"/>
  <c r="P12" i="49" s="1"/>
  <c r="Q12" i="49" s="1"/>
  <c r="N13" i="49"/>
  <c r="L9" i="49"/>
  <c r="L11" i="49" s="1"/>
  <c r="J9" i="49"/>
  <c r="J13" i="49" s="1"/>
  <c r="H9" i="49"/>
  <c r="H13" i="49" s="1"/>
  <c r="I13" i="49" s="1"/>
  <c r="F9" i="49"/>
  <c r="F13" i="49" s="1"/>
  <c r="E9" i="49"/>
  <c r="Z8" i="49"/>
  <c r="X8" i="49"/>
  <c r="U8" i="49"/>
  <c r="S8" i="49"/>
  <c r="Q8" i="49"/>
  <c r="O8" i="49"/>
  <c r="M8" i="49"/>
  <c r="K8" i="49"/>
  <c r="I8" i="49"/>
  <c r="G8" i="49"/>
  <c r="Z7" i="49"/>
  <c r="X7" i="49"/>
  <c r="U7" i="49"/>
  <c r="S7" i="49"/>
  <c r="Q7" i="49"/>
  <c r="O7" i="49"/>
  <c r="M7" i="49"/>
  <c r="K7" i="49"/>
  <c r="I7" i="49"/>
  <c r="G7" i="49"/>
  <c r="Z6" i="49"/>
  <c r="X6" i="49"/>
  <c r="U6" i="49"/>
  <c r="S6" i="49"/>
  <c r="Q6" i="49"/>
  <c r="O6" i="49"/>
  <c r="M6" i="49"/>
  <c r="K6" i="49"/>
  <c r="I6" i="49"/>
  <c r="G6" i="49"/>
  <c r="Z5" i="49"/>
  <c r="X5" i="49"/>
  <c r="U5" i="49"/>
  <c r="S5" i="49"/>
  <c r="Q5" i="49"/>
  <c r="O5" i="49"/>
  <c r="M5" i="49"/>
  <c r="K5" i="49"/>
  <c r="I5" i="49"/>
  <c r="G5" i="49"/>
  <c r="Z4" i="49"/>
  <c r="X4" i="49"/>
  <c r="U4" i="49"/>
  <c r="S4" i="49"/>
  <c r="Q4" i="49"/>
  <c r="O4" i="49"/>
  <c r="M4" i="49"/>
  <c r="K4" i="49"/>
  <c r="I4" i="49"/>
  <c r="G4" i="49"/>
  <c r="Z3" i="49"/>
  <c r="X3" i="49"/>
  <c r="U3" i="49"/>
  <c r="S3" i="49"/>
  <c r="Q3" i="49"/>
  <c r="O3" i="49"/>
  <c r="M3" i="49"/>
  <c r="K3" i="49"/>
  <c r="I3" i="49"/>
  <c r="G3" i="49"/>
  <c r="Z2" i="49"/>
  <c r="X2" i="49"/>
  <c r="U2" i="49"/>
  <c r="S2" i="49"/>
  <c r="Q2" i="49"/>
  <c r="O2" i="49"/>
  <c r="M2" i="49"/>
  <c r="K2" i="49"/>
  <c r="I2" i="49"/>
  <c r="G2" i="49"/>
  <c r="V38" i="48"/>
  <c r="V39" i="48" s="1"/>
  <c r="E38" i="48"/>
  <c r="Y32" i="48"/>
  <c r="Z32" i="48" s="1"/>
  <c r="W32" i="48"/>
  <c r="W36" i="48" s="1"/>
  <c r="T32" i="48"/>
  <c r="U32" i="48" s="1"/>
  <c r="R32" i="48"/>
  <c r="P32" i="48"/>
  <c r="Q32" i="48" s="1"/>
  <c r="N32" i="48"/>
  <c r="L32" i="48"/>
  <c r="M32" i="48" s="1"/>
  <c r="J32" i="48"/>
  <c r="H32" i="48"/>
  <c r="I32" i="48" s="1"/>
  <c r="F32" i="48"/>
  <c r="Z31" i="48"/>
  <c r="X31" i="48"/>
  <c r="U31" i="48"/>
  <c r="S31" i="48"/>
  <c r="Q31" i="48"/>
  <c r="O31" i="48"/>
  <c r="M31" i="48"/>
  <c r="K31" i="48"/>
  <c r="I31" i="48"/>
  <c r="G31" i="48"/>
  <c r="Z30" i="48"/>
  <c r="X30" i="48"/>
  <c r="U30" i="48"/>
  <c r="S30" i="48"/>
  <c r="Q30" i="48"/>
  <c r="O30" i="48"/>
  <c r="M30" i="48"/>
  <c r="K30" i="48"/>
  <c r="I30" i="48"/>
  <c r="G30" i="48"/>
  <c r="Z29" i="48"/>
  <c r="X29" i="48"/>
  <c r="U29" i="48"/>
  <c r="S29" i="48"/>
  <c r="Q29" i="48"/>
  <c r="O29" i="48"/>
  <c r="M29" i="48"/>
  <c r="K29" i="48"/>
  <c r="I29" i="48"/>
  <c r="G29" i="48"/>
  <c r="Z28" i="48"/>
  <c r="X28" i="48"/>
  <c r="U28" i="48"/>
  <c r="S28" i="48"/>
  <c r="Q28" i="48"/>
  <c r="O28" i="48"/>
  <c r="M28" i="48"/>
  <c r="K28" i="48"/>
  <c r="I28" i="48"/>
  <c r="G28" i="48"/>
  <c r="Z27" i="48"/>
  <c r="X27" i="48"/>
  <c r="U27" i="48"/>
  <c r="S27" i="48"/>
  <c r="Q27" i="48"/>
  <c r="O27" i="48"/>
  <c r="M27" i="48"/>
  <c r="K27" i="48"/>
  <c r="I27" i="48"/>
  <c r="G27" i="48"/>
  <c r="Z26" i="48"/>
  <c r="X26" i="48"/>
  <c r="U26" i="48"/>
  <c r="S26" i="48"/>
  <c r="Q26" i="48"/>
  <c r="O26" i="48"/>
  <c r="M26" i="48"/>
  <c r="K26" i="48"/>
  <c r="I26" i="48"/>
  <c r="G26" i="48"/>
  <c r="Z25" i="48"/>
  <c r="X25" i="48"/>
  <c r="U25" i="48"/>
  <c r="S25" i="48"/>
  <c r="Q25" i="48"/>
  <c r="O25" i="48"/>
  <c r="M25" i="48"/>
  <c r="K25" i="48"/>
  <c r="I25" i="48"/>
  <c r="G25" i="48"/>
  <c r="Z24" i="48"/>
  <c r="X24" i="48"/>
  <c r="U24" i="48"/>
  <c r="S24" i="48"/>
  <c r="Q24" i="48"/>
  <c r="O24" i="48"/>
  <c r="M24" i="48"/>
  <c r="K24" i="48"/>
  <c r="I24" i="48"/>
  <c r="G24" i="48"/>
  <c r="Z23" i="48"/>
  <c r="X23" i="48"/>
  <c r="U23" i="48"/>
  <c r="S23" i="48"/>
  <c r="Q23" i="48"/>
  <c r="O23" i="48"/>
  <c r="M23" i="48"/>
  <c r="K23" i="48"/>
  <c r="I23" i="48"/>
  <c r="G23" i="48"/>
  <c r="Z22" i="48"/>
  <c r="X22" i="48"/>
  <c r="U22" i="48"/>
  <c r="S22" i="48"/>
  <c r="Q22" i="48"/>
  <c r="O22" i="48"/>
  <c r="M22" i="48"/>
  <c r="K22" i="48"/>
  <c r="I22" i="48"/>
  <c r="G22" i="48"/>
  <c r="Z21" i="48"/>
  <c r="X21" i="48"/>
  <c r="U21" i="48"/>
  <c r="S21" i="48"/>
  <c r="Q21" i="48"/>
  <c r="O21" i="48"/>
  <c r="M21" i="48"/>
  <c r="K21" i="48"/>
  <c r="I21" i="48"/>
  <c r="G21" i="48"/>
  <c r="Z20" i="48"/>
  <c r="X20" i="48"/>
  <c r="U20" i="48"/>
  <c r="S20" i="48"/>
  <c r="Q20" i="48"/>
  <c r="O20" i="48"/>
  <c r="M20" i="48"/>
  <c r="K20" i="48"/>
  <c r="I20" i="48"/>
  <c r="G20" i="48"/>
  <c r="Y19" i="48"/>
  <c r="W19" i="48"/>
  <c r="T19" i="48"/>
  <c r="R19" i="48"/>
  <c r="P19" i="48"/>
  <c r="N19" i="48"/>
  <c r="L19" i="48"/>
  <c r="J19" i="48"/>
  <c r="H19" i="48"/>
  <c r="F19" i="48"/>
  <c r="V15" i="48"/>
  <c r="E15" i="48"/>
  <c r="Y9" i="48"/>
  <c r="Z12" i="48" s="1"/>
  <c r="W9" i="48"/>
  <c r="V9" i="48"/>
  <c r="V16" i="48" s="1"/>
  <c r="T9" i="48"/>
  <c r="R9" i="48"/>
  <c r="R13" i="48" s="1"/>
  <c r="P9" i="48"/>
  <c r="P13" i="48" s="1"/>
  <c r="Q13" i="48" s="1"/>
  <c r="N9" i="48"/>
  <c r="N13" i="48" s="1"/>
  <c r="L9" i="48"/>
  <c r="L12" i="48" s="1"/>
  <c r="M12" i="48" s="1"/>
  <c r="J9" i="48"/>
  <c r="J13" i="48" s="1"/>
  <c r="H9" i="48"/>
  <c r="H13" i="48" s="1"/>
  <c r="H14" i="48" s="1"/>
  <c r="I14" i="48" s="1"/>
  <c r="F9" i="48"/>
  <c r="F13" i="48" s="1"/>
  <c r="E9" i="48"/>
  <c r="X9" i="48" s="1"/>
  <c r="Z8" i="48"/>
  <c r="X8" i="48"/>
  <c r="U8" i="48"/>
  <c r="S8" i="48"/>
  <c r="Q8" i="48"/>
  <c r="O8" i="48"/>
  <c r="M8" i="48"/>
  <c r="K8" i="48"/>
  <c r="I8" i="48"/>
  <c r="G8" i="48"/>
  <c r="Z7" i="48"/>
  <c r="X7" i="48"/>
  <c r="U7" i="48"/>
  <c r="S7" i="48"/>
  <c r="Q7" i="48"/>
  <c r="O7" i="48"/>
  <c r="M7" i="48"/>
  <c r="K7" i="48"/>
  <c r="I7" i="48"/>
  <c r="G7" i="48"/>
  <c r="Z6" i="48"/>
  <c r="X6" i="48"/>
  <c r="U6" i="48"/>
  <c r="S6" i="48"/>
  <c r="Q6" i="48"/>
  <c r="O6" i="48"/>
  <c r="M6" i="48"/>
  <c r="K6" i="48"/>
  <c r="I6" i="48"/>
  <c r="G6" i="48"/>
  <c r="Z5" i="48"/>
  <c r="X5" i="48"/>
  <c r="U5" i="48"/>
  <c r="S5" i="48"/>
  <c r="Q5" i="48"/>
  <c r="O5" i="48"/>
  <c r="M5" i="48"/>
  <c r="K5" i="48"/>
  <c r="I5" i="48"/>
  <c r="G5" i="48"/>
  <c r="Z4" i="48"/>
  <c r="X4" i="48"/>
  <c r="U4" i="48"/>
  <c r="S4" i="48"/>
  <c r="Q4" i="48"/>
  <c r="O4" i="48"/>
  <c r="M4" i="48"/>
  <c r="K4" i="48"/>
  <c r="I4" i="48"/>
  <c r="G4" i="48"/>
  <c r="Z3" i="48"/>
  <c r="X3" i="48"/>
  <c r="U3" i="48"/>
  <c r="S3" i="48"/>
  <c r="Q3" i="48"/>
  <c r="O3" i="48"/>
  <c r="M3" i="48"/>
  <c r="K3" i="48"/>
  <c r="I3" i="48"/>
  <c r="G3" i="48"/>
  <c r="Z2" i="48"/>
  <c r="X2" i="48"/>
  <c r="U2" i="48"/>
  <c r="S2" i="48"/>
  <c r="Q2" i="48"/>
  <c r="O2" i="48"/>
  <c r="M2" i="48"/>
  <c r="K2" i="48"/>
  <c r="I2" i="48"/>
  <c r="G2" i="48"/>
  <c r="V38" i="47"/>
  <c r="V39" i="47" s="1"/>
  <c r="E38" i="47"/>
  <c r="Y32" i="47"/>
  <c r="Z32" i="47" s="1"/>
  <c r="W32" i="47"/>
  <c r="W36" i="47" s="1"/>
  <c r="T32" i="47"/>
  <c r="U32" i="47" s="1"/>
  <c r="R32" i="47"/>
  <c r="P32" i="47"/>
  <c r="Q32" i="47" s="1"/>
  <c r="N32" i="47"/>
  <c r="L32" i="47"/>
  <c r="M32" i="47" s="1"/>
  <c r="J32" i="47"/>
  <c r="H32" i="47"/>
  <c r="I32" i="47" s="1"/>
  <c r="F32" i="47"/>
  <c r="Z31" i="47"/>
  <c r="X31" i="47"/>
  <c r="U31" i="47"/>
  <c r="S31" i="47"/>
  <c r="Q31" i="47"/>
  <c r="O31" i="47"/>
  <c r="M31" i="47"/>
  <c r="K31" i="47"/>
  <c r="I31" i="47"/>
  <c r="G31" i="47"/>
  <c r="Z30" i="47"/>
  <c r="X30" i="47"/>
  <c r="U30" i="47"/>
  <c r="S30" i="47"/>
  <c r="Q30" i="47"/>
  <c r="O30" i="47"/>
  <c r="M30" i="47"/>
  <c r="K30" i="47"/>
  <c r="I30" i="47"/>
  <c r="G30" i="47"/>
  <c r="Z29" i="47"/>
  <c r="X29" i="47"/>
  <c r="U29" i="47"/>
  <c r="S29" i="47"/>
  <c r="Q29" i="47"/>
  <c r="O29" i="47"/>
  <c r="M29" i="47"/>
  <c r="K29" i="47"/>
  <c r="I29" i="47"/>
  <c r="G29" i="47"/>
  <c r="Z28" i="47"/>
  <c r="X28" i="47"/>
  <c r="U28" i="47"/>
  <c r="S28" i="47"/>
  <c r="Q28" i="47"/>
  <c r="O28" i="47"/>
  <c r="M28" i="47"/>
  <c r="K28" i="47"/>
  <c r="I28" i="47"/>
  <c r="G28" i="47"/>
  <c r="Z27" i="47"/>
  <c r="X27" i="47"/>
  <c r="U27" i="47"/>
  <c r="S27" i="47"/>
  <c r="Q27" i="47"/>
  <c r="O27" i="47"/>
  <c r="M27" i="47"/>
  <c r="K27" i="47"/>
  <c r="I27" i="47"/>
  <c r="G27" i="47"/>
  <c r="Z26" i="47"/>
  <c r="X26" i="47"/>
  <c r="U26" i="47"/>
  <c r="S26" i="47"/>
  <c r="Q26" i="47"/>
  <c r="O26" i="47"/>
  <c r="M26" i="47"/>
  <c r="K26" i="47"/>
  <c r="I26" i="47"/>
  <c r="G26" i="47"/>
  <c r="Z25" i="47"/>
  <c r="X25" i="47"/>
  <c r="U25" i="47"/>
  <c r="S25" i="47"/>
  <c r="Q25" i="47"/>
  <c r="O25" i="47"/>
  <c r="M25" i="47"/>
  <c r="K25" i="47"/>
  <c r="I25" i="47"/>
  <c r="G25" i="47"/>
  <c r="Z24" i="47"/>
  <c r="X24" i="47"/>
  <c r="U24" i="47"/>
  <c r="S24" i="47"/>
  <c r="Q24" i="47"/>
  <c r="O24" i="47"/>
  <c r="M24" i="47"/>
  <c r="K24" i="47"/>
  <c r="I24" i="47"/>
  <c r="G24" i="47"/>
  <c r="Z23" i="47"/>
  <c r="X23" i="47"/>
  <c r="U23" i="47"/>
  <c r="S23" i="47"/>
  <c r="Q23" i="47"/>
  <c r="O23" i="47"/>
  <c r="M23" i="47"/>
  <c r="K23" i="47"/>
  <c r="I23" i="47"/>
  <c r="G23" i="47"/>
  <c r="Z22" i="47"/>
  <c r="X22" i="47"/>
  <c r="U22" i="47"/>
  <c r="S22" i="47"/>
  <c r="Q22" i="47"/>
  <c r="O22" i="47"/>
  <c r="M22" i="47"/>
  <c r="K22" i="47"/>
  <c r="I22" i="47"/>
  <c r="G22" i="47"/>
  <c r="Z21" i="47"/>
  <c r="X21" i="47"/>
  <c r="U21" i="47"/>
  <c r="S21" i="47"/>
  <c r="Q21" i="47"/>
  <c r="O21" i="47"/>
  <c r="M21" i="47"/>
  <c r="K21" i="47"/>
  <c r="I21" i="47"/>
  <c r="G21" i="47"/>
  <c r="Z20" i="47"/>
  <c r="X20" i="47"/>
  <c r="U20" i="47"/>
  <c r="S20" i="47"/>
  <c r="Q20" i="47"/>
  <c r="O20" i="47"/>
  <c r="M20" i="47"/>
  <c r="K20" i="47"/>
  <c r="I20" i="47"/>
  <c r="G20" i="47"/>
  <c r="Y19" i="47"/>
  <c r="W19" i="47"/>
  <c r="T19" i="47"/>
  <c r="R19" i="47"/>
  <c r="P19" i="47"/>
  <c r="N19" i="47"/>
  <c r="L19" i="47"/>
  <c r="J19" i="47"/>
  <c r="H19" i="47"/>
  <c r="F19" i="47"/>
  <c r="V15" i="47"/>
  <c r="E15" i="47"/>
  <c r="P13" i="47"/>
  <c r="P14" i="47" s="1"/>
  <c r="Q14" i="47" s="1"/>
  <c r="P11" i="47"/>
  <c r="Y9" i="47"/>
  <c r="Y13" i="47" s="1"/>
  <c r="W9" i="47"/>
  <c r="V9" i="47"/>
  <c r="V16" i="47" s="1"/>
  <c r="T9" i="47"/>
  <c r="T12" i="47" s="1"/>
  <c r="U12" i="47" s="1"/>
  <c r="R9" i="47"/>
  <c r="R13" i="47" s="1"/>
  <c r="P9" i="47"/>
  <c r="N13" i="47"/>
  <c r="L9" i="47"/>
  <c r="L13" i="47" s="1"/>
  <c r="L14" i="47" s="1"/>
  <c r="M14" i="47" s="1"/>
  <c r="J9" i="47"/>
  <c r="J13" i="47" s="1"/>
  <c r="H9" i="47"/>
  <c r="H13" i="47" s="1"/>
  <c r="I13" i="47" s="1"/>
  <c r="F9" i="47"/>
  <c r="F13" i="47" s="1"/>
  <c r="E9" i="47"/>
  <c r="Z8" i="47"/>
  <c r="X8" i="47"/>
  <c r="U8" i="47"/>
  <c r="S8" i="47"/>
  <c r="Q8" i="47"/>
  <c r="M8" i="47"/>
  <c r="K8" i="47"/>
  <c r="I8" i="47"/>
  <c r="G8" i="47"/>
  <c r="Z7" i="47"/>
  <c r="X7" i="47"/>
  <c r="U7" i="47"/>
  <c r="S7" i="47"/>
  <c r="Q7" i="47"/>
  <c r="M7" i="47"/>
  <c r="K7" i="47"/>
  <c r="I7" i="47"/>
  <c r="G7" i="47"/>
  <c r="Z6" i="47"/>
  <c r="X6" i="47"/>
  <c r="U6" i="47"/>
  <c r="S6" i="47"/>
  <c r="Q6" i="47"/>
  <c r="M6" i="47"/>
  <c r="K6" i="47"/>
  <c r="I6" i="47"/>
  <c r="G6" i="47"/>
  <c r="Z5" i="47"/>
  <c r="X5" i="47"/>
  <c r="U5" i="47"/>
  <c r="S5" i="47"/>
  <c r="Q5" i="47"/>
  <c r="M5" i="47"/>
  <c r="K5" i="47"/>
  <c r="I5" i="47"/>
  <c r="G5" i="47"/>
  <c r="Z4" i="47"/>
  <c r="X4" i="47"/>
  <c r="U4" i="47"/>
  <c r="S4" i="47"/>
  <c r="Q4" i="47"/>
  <c r="M4" i="47"/>
  <c r="K4" i="47"/>
  <c r="I4" i="47"/>
  <c r="G4" i="47"/>
  <c r="Z3" i="47"/>
  <c r="X3" i="47"/>
  <c r="U3" i="47"/>
  <c r="S3" i="47"/>
  <c r="Q3" i="47"/>
  <c r="O3" i="47"/>
  <c r="M3" i="47"/>
  <c r="K3" i="47"/>
  <c r="I3" i="47"/>
  <c r="G3" i="47"/>
  <c r="Z2" i="47"/>
  <c r="X2" i="47"/>
  <c r="U2" i="47"/>
  <c r="S2" i="47"/>
  <c r="Q2" i="47"/>
  <c r="M2" i="47"/>
  <c r="K2" i="47"/>
  <c r="I2" i="47"/>
  <c r="G2" i="47"/>
  <c r="V38" i="46"/>
  <c r="V39" i="46" s="1"/>
  <c r="E38" i="46"/>
  <c r="Y32" i="46"/>
  <c r="Z32" i="46" s="1"/>
  <c r="W32" i="46"/>
  <c r="W35" i="46" s="1"/>
  <c r="X35" i="46" s="1"/>
  <c r="T32" i="46"/>
  <c r="U32" i="46" s="1"/>
  <c r="R32" i="46"/>
  <c r="P32" i="46"/>
  <c r="Q32" i="46" s="1"/>
  <c r="N32" i="46"/>
  <c r="L32" i="46"/>
  <c r="M32" i="46" s="1"/>
  <c r="J32" i="46"/>
  <c r="H32" i="46"/>
  <c r="I32" i="46" s="1"/>
  <c r="F32" i="46"/>
  <c r="Z31" i="46"/>
  <c r="X31" i="46"/>
  <c r="U31" i="46"/>
  <c r="S31" i="46"/>
  <c r="Q31" i="46"/>
  <c r="O31" i="46"/>
  <c r="M31" i="46"/>
  <c r="K31" i="46"/>
  <c r="I31" i="46"/>
  <c r="G31" i="46"/>
  <c r="Z30" i="46"/>
  <c r="X30" i="46"/>
  <c r="U30" i="46"/>
  <c r="S30" i="46"/>
  <c r="Q30" i="46"/>
  <c r="O30" i="46"/>
  <c r="M30" i="46"/>
  <c r="K30" i="46"/>
  <c r="I30" i="46"/>
  <c r="G30" i="46"/>
  <c r="Z29" i="46"/>
  <c r="X29" i="46"/>
  <c r="U29" i="46"/>
  <c r="S29" i="46"/>
  <c r="Q29" i="46"/>
  <c r="O29" i="46"/>
  <c r="M29" i="46"/>
  <c r="K29" i="46"/>
  <c r="I29" i="46"/>
  <c r="G29" i="46"/>
  <c r="Z28" i="46"/>
  <c r="X28" i="46"/>
  <c r="U28" i="46"/>
  <c r="S28" i="46"/>
  <c r="Q28" i="46"/>
  <c r="O28" i="46"/>
  <c r="M28" i="46"/>
  <c r="K28" i="46"/>
  <c r="I28" i="46"/>
  <c r="G28" i="46"/>
  <c r="Z27" i="46"/>
  <c r="X27" i="46"/>
  <c r="U27" i="46"/>
  <c r="S27" i="46"/>
  <c r="Q27" i="46"/>
  <c r="O27" i="46"/>
  <c r="M27" i="46"/>
  <c r="K27" i="46"/>
  <c r="I27" i="46"/>
  <c r="G27" i="46"/>
  <c r="Z26" i="46"/>
  <c r="X26" i="46"/>
  <c r="U26" i="46"/>
  <c r="S26" i="46"/>
  <c r="Q26" i="46"/>
  <c r="O26" i="46"/>
  <c r="M26" i="46"/>
  <c r="K26" i="46"/>
  <c r="I26" i="46"/>
  <c r="G26" i="46"/>
  <c r="Z25" i="46"/>
  <c r="X25" i="46"/>
  <c r="U25" i="46"/>
  <c r="S25" i="46"/>
  <c r="Q25" i="46"/>
  <c r="O25" i="46"/>
  <c r="M25" i="46"/>
  <c r="K25" i="46"/>
  <c r="I25" i="46"/>
  <c r="G25" i="46"/>
  <c r="Z24" i="46"/>
  <c r="X24" i="46"/>
  <c r="U24" i="46"/>
  <c r="S24" i="46"/>
  <c r="Q24" i="46"/>
  <c r="O24" i="46"/>
  <c r="M24" i="46"/>
  <c r="K24" i="46"/>
  <c r="I24" i="46"/>
  <c r="G24" i="46"/>
  <c r="Z23" i="46"/>
  <c r="X23" i="46"/>
  <c r="U23" i="46"/>
  <c r="S23" i="46"/>
  <c r="Q23" i="46"/>
  <c r="O23" i="46"/>
  <c r="M23" i="46"/>
  <c r="K23" i="46"/>
  <c r="I23" i="46"/>
  <c r="G23" i="46"/>
  <c r="Z22" i="46"/>
  <c r="X22" i="46"/>
  <c r="U22" i="46"/>
  <c r="S22" i="46"/>
  <c r="Q22" i="46"/>
  <c r="O22" i="46"/>
  <c r="M22" i="46"/>
  <c r="K22" i="46"/>
  <c r="I22" i="46"/>
  <c r="G22" i="46"/>
  <c r="Z21" i="46"/>
  <c r="X21" i="46"/>
  <c r="U21" i="46"/>
  <c r="S21" i="46"/>
  <c r="Q21" i="46"/>
  <c r="O21" i="46"/>
  <c r="M21" i="46"/>
  <c r="K21" i="46"/>
  <c r="I21" i="46"/>
  <c r="G21" i="46"/>
  <c r="Z20" i="46"/>
  <c r="X20" i="46"/>
  <c r="U20" i="46"/>
  <c r="S20" i="46"/>
  <c r="Q20" i="46"/>
  <c r="O20" i="46"/>
  <c r="M20" i="46"/>
  <c r="K20" i="46"/>
  <c r="I20" i="46"/>
  <c r="G20" i="46"/>
  <c r="Y19" i="46"/>
  <c r="W19" i="46"/>
  <c r="T19" i="46"/>
  <c r="R19" i="46"/>
  <c r="P19" i="46"/>
  <c r="N19" i="46"/>
  <c r="L19" i="46"/>
  <c r="J19" i="46"/>
  <c r="H19" i="46"/>
  <c r="F19" i="46"/>
  <c r="V15" i="46"/>
  <c r="E15" i="46"/>
  <c r="Y9" i="46"/>
  <c r="W9" i="46"/>
  <c r="V9" i="46"/>
  <c r="V16" i="46" s="1"/>
  <c r="T9" i="46"/>
  <c r="T13" i="46" s="1"/>
  <c r="R9" i="46"/>
  <c r="R13" i="46" s="1"/>
  <c r="P9" i="46"/>
  <c r="P12" i="46" s="1"/>
  <c r="Q12" i="46" s="1"/>
  <c r="N9" i="46"/>
  <c r="N13" i="46" s="1"/>
  <c r="L9" i="46"/>
  <c r="L11" i="46" s="1"/>
  <c r="J9" i="46"/>
  <c r="J13" i="46" s="1"/>
  <c r="H9" i="46"/>
  <c r="H13" i="46" s="1"/>
  <c r="F9" i="46"/>
  <c r="F13" i="46" s="1"/>
  <c r="E9" i="46"/>
  <c r="Z8" i="46"/>
  <c r="X8" i="46"/>
  <c r="U8" i="46"/>
  <c r="S8" i="46"/>
  <c r="Q8" i="46"/>
  <c r="O8" i="46"/>
  <c r="M8" i="46"/>
  <c r="K8" i="46"/>
  <c r="I8" i="46"/>
  <c r="G8" i="46"/>
  <c r="Z7" i="46"/>
  <c r="X7" i="46"/>
  <c r="U7" i="46"/>
  <c r="S7" i="46"/>
  <c r="Q7" i="46"/>
  <c r="O7" i="46"/>
  <c r="M7" i="46"/>
  <c r="K7" i="46"/>
  <c r="I7" i="46"/>
  <c r="G7" i="46"/>
  <c r="Z6" i="46"/>
  <c r="X6" i="46"/>
  <c r="U6" i="46"/>
  <c r="S6" i="46"/>
  <c r="Q6" i="46"/>
  <c r="O6" i="46"/>
  <c r="M6" i="46"/>
  <c r="K6" i="46"/>
  <c r="I6" i="46"/>
  <c r="G6" i="46"/>
  <c r="Z5" i="46"/>
  <c r="X5" i="46"/>
  <c r="U5" i="46"/>
  <c r="S5" i="46"/>
  <c r="Q5" i="46"/>
  <c r="O5" i="46"/>
  <c r="M5" i="46"/>
  <c r="K5" i="46"/>
  <c r="I5" i="46"/>
  <c r="G5" i="46"/>
  <c r="Z4" i="46"/>
  <c r="X4" i="46"/>
  <c r="U4" i="46"/>
  <c r="S4" i="46"/>
  <c r="Q4" i="46"/>
  <c r="O4" i="46"/>
  <c r="M4" i="46"/>
  <c r="K4" i="46"/>
  <c r="I4" i="46"/>
  <c r="G4" i="46"/>
  <c r="Z3" i="46"/>
  <c r="X3" i="46"/>
  <c r="U3" i="46"/>
  <c r="S3" i="46"/>
  <c r="Q3" i="46"/>
  <c r="O3" i="46"/>
  <c r="M3" i="46"/>
  <c r="K3" i="46"/>
  <c r="I3" i="46"/>
  <c r="G3" i="46"/>
  <c r="Z2" i="46"/>
  <c r="X2" i="46"/>
  <c r="U2" i="46"/>
  <c r="S2" i="46"/>
  <c r="Q2" i="46"/>
  <c r="O2" i="46"/>
  <c r="M2" i="46"/>
  <c r="K2" i="46"/>
  <c r="I2" i="46"/>
  <c r="G2" i="46"/>
  <c r="V38" i="45"/>
  <c r="V39" i="45" s="1"/>
  <c r="E38" i="45"/>
  <c r="Y32" i="45"/>
  <c r="Z32" i="45" s="1"/>
  <c r="W32" i="45"/>
  <c r="T32" i="45"/>
  <c r="U32" i="45" s="1"/>
  <c r="R32" i="45"/>
  <c r="P32" i="45"/>
  <c r="Q32" i="45" s="1"/>
  <c r="N32" i="45"/>
  <c r="L32" i="45"/>
  <c r="M32" i="45" s="1"/>
  <c r="J32" i="45"/>
  <c r="H32" i="45"/>
  <c r="I32" i="45" s="1"/>
  <c r="F32" i="45"/>
  <c r="Z31" i="45"/>
  <c r="X31" i="45"/>
  <c r="U31" i="45"/>
  <c r="S31" i="45"/>
  <c r="Q31" i="45"/>
  <c r="O31" i="45"/>
  <c r="M31" i="45"/>
  <c r="K31" i="45"/>
  <c r="I31" i="45"/>
  <c r="G31" i="45"/>
  <c r="Z30" i="45"/>
  <c r="X30" i="45"/>
  <c r="U30" i="45"/>
  <c r="S30" i="45"/>
  <c r="Q30" i="45"/>
  <c r="O30" i="45"/>
  <c r="M30" i="45"/>
  <c r="K30" i="45"/>
  <c r="I30" i="45"/>
  <c r="G30" i="45"/>
  <c r="Z29" i="45"/>
  <c r="X29" i="45"/>
  <c r="U29" i="45"/>
  <c r="S29" i="45"/>
  <c r="Q29" i="45"/>
  <c r="O29" i="45"/>
  <c r="M29" i="45"/>
  <c r="K29" i="45"/>
  <c r="I29" i="45"/>
  <c r="G29" i="45"/>
  <c r="Z28" i="45"/>
  <c r="X28" i="45"/>
  <c r="U28" i="45"/>
  <c r="S28" i="45"/>
  <c r="Q28" i="45"/>
  <c r="O28" i="45"/>
  <c r="M28" i="45"/>
  <c r="K28" i="45"/>
  <c r="I28" i="45"/>
  <c r="G28" i="45"/>
  <c r="Z27" i="45"/>
  <c r="X27" i="45"/>
  <c r="U27" i="45"/>
  <c r="S27" i="45"/>
  <c r="Q27" i="45"/>
  <c r="O27" i="45"/>
  <c r="M27" i="45"/>
  <c r="K27" i="45"/>
  <c r="I27" i="45"/>
  <c r="G27" i="45"/>
  <c r="Z26" i="45"/>
  <c r="X26" i="45"/>
  <c r="U26" i="45"/>
  <c r="S26" i="45"/>
  <c r="Q26" i="45"/>
  <c r="O26" i="45"/>
  <c r="M26" i="45"/>
  <c r="K26" i="45"/>
  <c r="I26" i="45"/>
  <c r="G26" i="45"/>
  <c r="Z25" i="45"/>
  <c r="X25" i="45"/>
  <c r="U25" i="45"/>
  <c r="S25" i="45"/>
  <c r="Q25" i="45"/>
  <c r="O25" i="45"/>
  <c r="M25" i="45"/>
  <c r="K25" i="45"/>
  <c r="I25" i="45"/>
  <c r="G25" i="45"/>
  <c r="Z24" i="45"/>
  <c r="X24" i="45"/>
  <c r="U24" i="45"/>
  <c r="S24" i="45"/>
  <c r="Q24" i="45"/>
  <c r="O24" i="45"/>
  <c r="M24" i="45"/>
  <c r="K24" i="45"/>
  <c r="I24" i="45"/>
  <c r="G24" i="45"/>
  <c r="Z23" i="45"/>
  <c r="X23" i="45"/>
  <c r="U23" i="45"/>
  <c r="S23" i="45"/>
  <c r="Q23" i="45"/>
  <c r="O23" i="45"/>
  <c r="M23" i="45"/>
  <c r="K23" i="45"/>
  <c r="I23" i="45"/>
  <c r="G23" i="45"/>
  <c r="Z22" i="45"/>
  <c r="X22" i="45"/>
  <c r="U22" i="45"/>
  <c r="S22" i="45"/>
  <c r="Q22" i="45"/>
  <c r="O22" i="45"/>
  <c r="M22" i="45"/>
  <c r="K22" i="45"/>
  <c r="I22" i="45"/>
  <c r="G22" i="45"/>
  <c r="Z21" i="45"/>
  <c r="X21" i="45"/>
  <c r="U21" i="45"/>
  <c r="S21" i="45"/>
  <c r="Q21" i="45"/>
  <c r="O21" i="45"/>
  <c r="M21" i="45"/>
  <c r="K21" i="45"/>
  <c r="I21" i="45"/>
  <c r="G21" i="45"/>
  <c r="Z20" i="45"/>
  <c r="X20" i="45"/>
  <c r="U20" i="45"/>
  <c r="S20" i="45"/>
  <c r="Q20" i="45"/>
  <c r="O20" i="45"/>
  <c r="M20" i="45"/>
  <c r="K20" i="45"/>
  <c r="I20" i="45"/>
  <c r="G20" i="45"/>
  <c r="R19" i="45"/>
  <c r="J19" i="45"/>
  <c r="E16" i="45"/>
  <c r="V15" i="45"/>
  <c r="E15" i="45"/>
  <c r="P13" i="45"/>
  <c r="Q13" i="45" s="1"/>
  <c r="P12" i="45"/>
  <c r="Q12" i="45" s="1"/>
  <c r="P11" i="45"/>
  <c r="H11" i="45"/>
  <c r="Y9" i="45"/>
  <c r="Y13" i="45" s="1"/>
  <c r="W9" i="45"/>
  <c r="V9" i="45"/>
  <c r="V16" i="45" s="1"/>
  <c r="T9" i="45"/>
  <c r="T13" i="45" s="1"/>
  <c r="U13" i="45" s="1"/>
  <c r="R9" i="45"/>
  <c r="R13" i="45" s="1"/>
  <c r="P9" i="45"/>
  <c r="N9" i="45"/>
  <c r="N13" i="45" s="1"/>
  <c r="L9" i="45"/>
  <c r="J9" i="45"/>
  <c r="J13" i="45" s="1"/>
  <c r="H9" i="45"/>
  <c r="H13" i="45" s="1"/>
  <c r="E9" i="45"/>
  <c r="Z8" i="45"/>
  <c r="X8" i="45"/>
  <c r="U8" i="45"/>
  <c r="S8" i="45"/>
  <c r="Q8" i="45"/>
  <c r="O8" i="45"/>
  <c r="M8" i="45"/>
  <c r="K8" i="45"/>
  <c r="I8" i="45"/>
  <c r="G8" i="45"/>
  <c r="Z7" i="45"/>
  <c r="X7" i="45"/>
  <c r="U7" i="45"/>
  <c r="S7" i="45"/>
  <c r="Q7" i="45"/>
  <c r="O7" i="45"/>
  <c r="M7" i="45"/>
  <c r="K7" i="45"/>
  <c r="I7" i="45"/>
  <c r="G7" i="45"/>
  <c r="Z6" i="45"/>
  <c r="X6" i="45"/>
  <c r="U6" i="45"/>
  <c r="S6" i="45"/>
  <c r="Q6" i="45"/>
  <c r="O6" i="45"/>
  <c r="M6" i="45"/>
  <c r="K6" i="45"/>
  <c r="I6" i="45"/>
  <c r="G6" i="45"/>
  <c r="Z5" i="45"/>
  <c r="X5" i="45"/>
  <c r="U5" i="45"/>
  <c r="S5" i="45"/>
  <c r="Q5" i="45"/>
  <c r="O5" i="45"/>
  <c r="M5" i="45"/>
  <c r="K5" i="45"/>
  <c r="I5" i="45"/>
  <c r="G5" i="45"/>
  <c r="Z4" i="45"/>
  <c r="X4" i="45"/>
  <c r="U4" i="45"/>
  <c r="S4" i="45"/>
  <c r="Q4" i="45"/>
  <c r="O4" i="45"/>
  <c r="M4" i="45"/>
  <c r="K4" i="45"/>
  <c r="I4" i="45"/>
  <c r="G4" i="45"/>
  <c r="Z3" i="45"/>
  <c r="X3" i="45"/>
  <c r="U3" i="45"/>
  <c r="S3" i="45"/>
  <c r="Q3" i="45"/>
  <c r="O3" i="45"/>
  <c r="M3" i="45"/>
  <c r="K3" i="45"/>
  <c r="I3" i="45"/>
  <c r="G3" i="45"/>
  <c r="Z2" i="45"/>
  <c r="X2" i="45"/>
  <c r="U2" i="45"/>
  <c r="S2" i="45"/>
  <c r="Q2" i="45"/>
  <c r="O2" i="45"/>
  <c r="M2" i="45"/>
  <c r="K2" i="45"/>
  <c r="I2" i="45"/>
  <c r="G2" i="45"/>
  <c r="Y19" i="45"/>
  <c r="W19" i="45"/>
  <c r="T19" i="45"/>
  <c r="P19" i="45"/>
  <c r="N19" i="45"/>
  <c r="L19" i="45"/>
  <c r="H19" i="45"/>
  <c r="F19" i="45"/>
  <c r="Y32" i="4"/>
  <c r="Y34" i="4" s="1"/>
  <c r="T12" i="50" l="1"/>
  <c r="U12" i="50" s="1"/>
  <c r="T13" i="50"/>
  <c r="U13" i="50" s="1"/>
  <c r="P11" i="50"/>
  <c r="P13" i="50"/>
  <c r="P14" i="50" s="1"/>
  <c r="Q14" i="50" s="1"/>
  <c r="L12" i="50"/>
  <c r="M12" i="50" s="1"/>
  <c r="M9" i="50"/>
  <c r="I9" i="50"/>
  <c r="H11" i="50"/>
  <c r="H12" i="50"/>
  <c r="I12" i="50" s="1"/>
  <c r="T11" i="49"/>
  <c r="T12" i="49"/>
  <c r="U12" i="49" s="1"/>
  <c r="P11" i="49"/>
  <c r="P13" i="49"/>
  <c r="Q13" i="49" s="1"/>
  <c r="L13" i="49"/>
  <c r="L12" i="49"/>
  <c r="M12" i="49" s="1"/>
  <c r="I9" i="49"/>
  <c r="H11" i="49"/>
  <c r="H12" i="49"/>
  <c r="I12" i="49" s="1"/>
  <c r="T11" i="48"/>
  <c r="T12" i="48"/>
  <c r="U12" i="48" s="1"/>
  <c r="T13" i="48"/>
  <c r="T14" i="48" s="1"/>
  <c r="U14" i="48" s="1"/>
  <c r="P12" i="48"/>
  <c r="Q12" i="48" s="1"/>
  <c r="P11" i="48"/>
  <c r="Q11" i="48" s="1"/>
  <c r="L13" i="48"/>
  <c r="L14" i="48" s="1"/>
  <c r="M14" i="48" s="1"/>
  <c r="L11" i="48"/>
  <c r="L15" i="48" s="1"/>
  <c r="L16" i="48" s="1"/>
  <c r="H11" i="48"/>
  <c r="H15" i="48" s="1"/>
  <c r="H16" i="48" s="1"/>
  <c r="H12" i="48"/>
  <c r="I12" i="48" s="1"/>
  <c r="X9" i="47"/>
  <c r="T13" i="47"/>
  <c r="U13" i="47" s="1"/>
  <c r="T11" i="47"/>
  <c r="P12" i="47"/>
  <c r="Q12" i="47" s="1"/>
  <c r="M9" i="47"/>
  <c r="L11" i="47"/>
  <c r="L15" i="47" s="1"/>
  <c r="M15" i="47" s="1"/>
  <c r="L12" i="47"/>
  <c r="M12" i="47" s="1"/>
  <c r="H11" i="47"/>
  <c r="H12" i="47"/>
  <c r="I12" i="47" s="1"/>
  <c r="T11" i="46"/>
  <c r="U11" i="46" s="1"/>
  <c r="T12" i="46"/>
  <c r="U12" i="46" s="1"/>
  <c r="P11" i="46"/>
  <c r="Q11" i="46" s="1"/>
  <c r="P13" i="46"/>
  <c r="P14" i="46" s="1"/>
  <c r="Q14" i="46" s="1"/>
  <c r="L13" i="46"/>
  <c r="L12" i="46"/>
  <c r="M12" i="46" s="1"/>
  <c r="I9" i="46"/>
  <c r="H11" i="46"/>
  <c r="H12" i="46"/>
  <c r="I12" i="46" s="1"/>
  <c r="T12" i="45"/>
  <c r="U12" i="45" s="1"/>
  <c r="H12" i="45"/>
  <c r="I12" i="45" s="1"/>
  <c r="P15" i="50"/>
  <c r="Q15" i="50" s="1"/>
  <c r="Q11" i="50"/>
  <c r="I13" i="50"/>
  <c r="H14" i="50"/>
  <c r="I14" i="50" s="1"/>
  <c r="X34" i="50"/>
  <c r="O13" i="50"/>
  <c r="N14" i="50"/>
  <c r="O14" i="50" s="1"/>
  <c r="Y13" i="50"/>
  <c r="U11" i="50"/>
  <c r="L14" i="50"/>
  <c r="M14" i="50" s="1"/>
  <c r="M13" i="50"/>
  <c r="X9" i="50"/>
  <c r="S9" i="50"/>
  <c r="O9" i="50"/>
  <c r="K9" i="50"/>
  <c r="G9" i="50"/>
  <c r="Z9" i="50"/>
  <c r="E16" i="50"/>
  <c r="K13" i="50"/>
  <c r="J14" i="50"/>
  <c r="K14" i="50" s="1"/>
  <c r="P16" i="50"/>
  <c r="U9" i="50"/>
  <c r="H15" i="50"/>
  <c r="H16" i="50" s="1"/>
  <c r="I11" i="50"/>
  <c r="Y11" i="50"/>
  <c r="S13" i="50"/>
  <c r="R14" i="50"/>
  <c r="S14" i="50" s="1"/>
  <c r="G13" i="50"/>
  <c r="F14" i="50"/>
  <c r="G14" i="50" s="1"/>
  <c r="Q9" i="50"/>
  <c r="L15" i="50"/>
  <c r="L16" i="50" s="1"/>
  <c r="M11" i="50"/>
  <c r="Y12" i="50"/>
  <c r="Z12" i="50" s="1"/>
  <c r="F34" i="50"/>
  <c r="R34" i="50"/>
  <c r="J35" i="50"/>
  <c r="K35" i="50" s="1"/>
  <c r="W35" i="50"/>
  <c r="X35" i="50" s="1"/>
  <c r="W36" i="50"/>
  <c r="G32" i="50"/>
  <c r="K32" i="50"/>
  <c r="O32" i="50"/>
  <c r="S32" i="50"/>
  <c r="X32" i="50"/>
  <c r="N34" i="50"/>
  <c r="F35" i="50"/>
  <c r="G35" i="50" s="1"/>
  <c r="R35" i="50"/>
  <c r="S35" i="50" s="1"/>
  <c r="F36" i="50"/>
  <c r="N36" i="50"/>
  <c r="F11" i="50"/>
  <c r="J11" i="50"/>
  <c r="N11" i="50"/>
  <c r="R11" i="50"/>
  <c r="W11" i="50"/>
  <c r="F12" i="50"/>
  <c r="G12" i="50" s="1"/>
  <c r="J12" i="50"/>
  <c r="K12" i="50" s="1"/>
  <c r="N12" i="50"/>
  <c r="O12" i="50" s="1"/>
  <c r="R12" i="50"/>
  <c r="S12" i="50" s="1"/>
  <c r="W12" i="50"/>
  <c r="X12" i="50" s="1"/>
  <c r="W13" i="50"/>
  <c r="H34" i="50"/>
  <c r="L34" i="50"/>
  <c r="P34" i="50"/>
  <c r="T34" i="50"/>
  <c r="Y34" i="50"/>
  <c r="H35" i="50"/>
  <c r="I35" i="50" s="1"/>
  <c r="L35" i="50"/>
  <c r="M35" i="50" s="1"/>
  <c r="P35" i="50"/>
  <c r="Q35" i="50" s="1"/>
  <c r="T35" i="50"/>
  <c r="U35" i="50" s="1"/>
  <c r="Y35" i="50"/>
  <c r="Z35" i="50" s="1"/>
  <c r="H36" i="50"/>
  <c r="L36" i="50"/>
  <c r="P36" i="50"/>
  <c r="T36" i="50"/>
  <c r="Y36" i="50"/>
  <c r="E39" i="50"/>
  <c r="J34" i="50"/>
  <c r="N35" i="50"/>
  <c r="O35" i="50" s="1"/>
  <c r="J36" i="50"/>
  <c r="R36" i="50"/>
  <c r="Z11" i="49"/>
  <c r="X9" i="49"/>
  <c r="S9" i="49"/>
  <c r="O9" i="49"/>
  <c r="K9" i="49"/>
  <c r="G9" i="49"/>
  <c r="E16" i="49"/>
  <c r="Z9" i="49"/>
  <c r="K13" i="49"/>
  <c r="J14" i="49"/>
  <c r="K14" i="49" s="1"/>
  <c r="U9" i="49"/>
  <c r="I11" i="49"/>
  <c r="O13" i="49"/>
  <c r="N14" i="49"/>
  <c r="O14" i="49" s="1"/>
  <c r="Y13" i="49"/>
  <c r="L14" i="49"/>
  <c r="M14" i="49" s="1"/>
  <c r="M13" i="49"/>
  <c r="W37" i="49"/>
  <c r="X37" i="49" s="1"/>
  <c r="X36" i="49"/>
  <c r="G13" i="49"/>
  <c r="F14" i="49"/>
  <c r="G14" i="49" s="1"/>
  <c r="L16" i="49"/>
  <c r="Q9" i="49"/>
  <c r="L15" i="49"/>
  <c r="M11" i="49"/>
  <c r="Y12" i="49"/>
  <c r="Z12" i="49" s="1"/>
  <c r="T16" i="49"/>
  <c r="T15" i="49"/>
  <c r="U15" i="49" s="1"/>
  <c r="U11" i="49"/>
  <c r="M9" i="49"/>
  <c r="S13" i="49"/>
  <c r="R14" i="49"/>
  <c r="S14" i="49" s="1"/>
  <c r="Q11" i="49"/>
  <c r="H14" i="49"/>
  <c r="I14" i="49" s="1"/>
  <c r="N34" i="49"/>
  <c r="F35" i="49"/>
  <c r="G35" i="49" s="1"/>
  <c r="R35" i="49"/>
  <c r="S35" i="49" s="1"/>
  <c r="R36" i="49"/>
  <c r="U13" i="49"/>
  <c r="G32" i="49"/>
  <c r="K32" i="49"/>
  <c r="O32" i="49"/>
  <c r="S32" i="49"/>
  <c r="X32" i="49"/>
  <c r="J34" i="49"/>
  <c r="W34" i="49"/>
  <c r="N35" i="49"/>
  <c r="O35" i="49" s="1"/>
  <c r="F36" i="49"/>
  <c r="N36" i="49"/>
  <c r="F11" i="49"/>
  <c r="J11" i="49"/>
  <c r="N11" i="49"/>
  <c r="R11" i="49"/>
  <c r="W11" i="49"/>
  <c r="F12" i="49"/>
  <c r="G12" i="49" s="1"/>
  <c r="J12" i="49"/>
  <c r="K12" i="49" s="1"/>
  <c r="N12" i="49"/>
  <c r="O12" i="49" s="1"/>
  <c r="R12" i="49"/>
  <c r="S12" i="49" s="1"/>
  <c r="W12" i="49"/>
  <c r="X12" i="49" s="1"/>
  <c r="W13" i="49"/>
  <c r="M15" i="49"/>
  <c r="H34" i="49"/>
  <c r="L34" i="49"/>
  <c r="P34" i="49"/>
  <c r="T34" i="49"/>
  <c r="Y34" i="49"/>
  <c r="H35" i="49"/>
  <c r="I35" i="49" s="1"/>
  <c r="L35" i="49"/>
  <c r="M35" i="49" s="1"/>
  <c r="P35" i="49"/>
  <c r="Q35" i="49" s="1"/>
  <c r="T35" i="49"/>
  <c r="U35" i="49" s="1"/>
  <c r="Y35" i="49"/>
  <c r="Z35" i="49" s="1"/>
  <c r="H36" i="49"/>
  <c r="L36" i="49"/>
  <c r="P36" i="49"/>
  <c r="T36" i="49"/>
  <c r="Y36" i="49"/>
  <c r="E39" i="49"/>
  <c r="F34" i="49"/>
  <c r="R34" i="49"/>
  <c r="J35" i="49"/>
  <c r="K35" i="49" s="1"/>
  <c r="W35" i="49"/>
  <c r="X35" i="49" s="1"/>
  <c r="J36" i="49"/>
  <c r="X36" i="48"/>
  <c r="W37" i="48"/>
  <c r="X37" i="48" s="1"/>
  <c r="G13" i="48"/>
  <c r="F14" i="48"/>
  <c r="G14" i="48" s="1"/>
  <c r="O13" i="48"/>
  <c r="N14" i="48"/>
  <c r="O14" i="48" s="1"/>
  <c r="K13" i="48"/>
  <c r="J14" i="48"/>
  <c r="K14" i="48" s="1"/>
  <c r="S13" i="48"/>
  <c r="R14" i="48"/>
  <c r="S14" i="48" s="1"/>
  <c r="M9" i="48"/>
  <c r="U9" i="48"/>
  <c r="P14" i="48"/>
  <c r="Q14" i="48" s="1"/>
  <c r="E16" i="48"/>
  <c r="N34" i="48"/>
  <c r="W34" i="48"/>
  <c r="N35" i="48"/>
  <c r="O35" i="48" s="1"/>
  <c r="F36" i="48"/>
  <c r="R36" i="48"/>
  <c r="Z9" i="48"/>
  <c r="I11" i="48"/>
  <c r="M11" i="48"/>
  <c r="U11" i="48"/>
  <c r="I13" i="48"/>
  <c r="M13" i="48"/>
  <c r="U13" i="48"/>
  <c r="G32" i="48"/>
  <c r="K32" i="48"/>
  <c r="O32" i="48"/>
  <c r="S32" i="48"/>
  <c r="X32" i="48"/>
  <c r="I9" i="48"/>
  <c r="F34" i="48"/>
  <c r="R34" i="48"/>
  <c r="J35" i="48"/>
  <c r="K35" i="48" s="1"/>
  <c r="W35" i="48"/>
  <c r="X35" i="48" s="1"/>
  <c r="J36" i="48"/>
  <c r="G9" i="48"/>
  <c r="K9" i="48"/>
  <c r="O9" i="48"/>
  <c r="S9" i="48"/>
  <c r="F11" i="48"/>
  <c r="J11" i="48"/>
  <c r="N11" i="48"/>
  <c r="R11" i="48"/>
  <c r="W11" i="48"/>
  <c r="F12" i="48"/>
  <c r="G12" i="48" s="1"/>
  <c r="J12" i="48"/>
  <c r="K12" i="48" s="1"/>
  <c r="N12" i="48"/>
  <c r="O12" i="48" s="1"/>
  <c r="R12" i="48"/>
  <c r="S12" i="48" s="1"/>
  <c r="W12" i="48"/>
  <c r="X12" i="48" s="1"/>
  <c r="W13" i="48"/>
  <c r="I15" i="48"/>
  <c r="M15" i="48"/>
  <c r="H34" i="48"/>
  <c r="L34" i="48"/>
  <c r="P34" i="48"/>
  <c r="T34" i="48"/>
  <c r="H35" i="48"/>
  <c r="I35" i="48" s="1"/>
  <c r="L35" i="48"/>
  <c r="M35" i="48" s="1"/>
  <c r="P35" i="48"/>
  <c r="Q35" i="48" s="1"/>
  <c r="T35" i="48"/>
  <c r="U35" i="48" s="1"/>
  <c r="Z35" i="48"/>
  <c r="H36" i="48"/>
  <c r="L36" i="48"/>
  <c r="P36" i="48"/>
  <c r="T36" i="48"/>
  <c r="E39" i="48"/>
  <c r="Q9" i="48"/>
  <c r="J34" i="48"/>
  <c r="F35" i="48"/>
  <c r="G35" i="48" s="1"/>
  <c r="R35" i="48"/>
  <c r="S35" i="48" s="1"/>
  <c r="N36" i="48"/>
  <c r="G13" i="47"/>
  <c r="F14" i="47"/>
  <c r="G14" i="47" s="1"/>
  <c r="W37" i="47"/>
  <c r="X37" i="47" s="1"/>
  <c r="X36" i="47"/>
  <c r="O13" i="47"/>
  <c r="N14" i="47"/>
  <c r="O14" i="47" s="1"/>
  <c r="K13" i="47"/>
  <c r="J14" i="47"/>
  <c r="K14" i="47" s="1"/>
  <c r="S13" i="47"/>
  <c r="R14" i="47"/>
  <c r="S14" i="47" s="1"/>
  <c r="Y14" i="47"/>
  <c r="Z14" i="47" s="1"/>
  <c r="Z13" i="47"/>
  <c r="T15" i="47"/>
  <c r="T16" i="47" s="1"/>
  <c r="U9" i="47"/>
  <c r="Y11" i="47"/>
  <c r="Y12" i="47"/>
  <c r="Z12" i="47" s="1"/>
  <c r="H14" i="47"/>
  <c r="I14" i="47" s="1"/>
  <c r="T14" i="47"/>
  <c r="U14" i="47" s="1"/>
  <c r="E16" i="47"/>
  <c r="J34" i="47"/>
  <c r="W34" i="47"/>
  <c r="N35" i="47"/>
  <c r="O35" i="47" s="1"/>
  <c r="F36" i="47"/>
  <c r="R36" i="47"/>
  <c r="Z9" i="47"/>
  <c r="I11" i="47"/>
  <c r="Q11" i="47"/>
  <c r="U11" i="47"/>
  <c r="M13" i="47"/>
  <c r="Q13" i="47"/>
  <c r="G32" i="47"/>
  <c r="K32" i="47"/>
  <c r="O32" i="47"/>
  <c r="S32" i="47"/>
  <c r="X32" i="47"/>
  <c r="I9" i="47"/>
  <c r="F34" i="47"/>
  <c r="R34" i="47"/>
  <c r="J35" i="47"/>
  <c r="K35" i="47" s="1"/>
  <c r="W35" i="47"/>
  <c r="X35" i="47" s="1"/>
  <c r="N36" i="47"/>
  <c r="G9" i="47"/>
  <c r="K9" i="47"/>
  <c r="O9" i="47"/>
  <c r="S9" i="47"/>
  <c r="F11" i="47"/>
  <c r="J11" i="47"/>
  <c r="N11" i="47"/>
  <c r="R11" i="47"/>
  <c r="W11" i="47"/>
  <c r="F12" i="47"/>
  <c r="G12" i="47" s="1"/>
  <c r="J12" i="47"/>
  <c r="K12" i="47" s="1"/>
  <c r="N12" i="47"/>
  <c r="O12" i="47" s="1"/>
  <c r="R12" i="47"/>
  <c r="S12" i="47" s="1"/>
  <c r="W12" i="47"/>
  <c r="X12" i="47" s="1"/>
  <c r="W13" i="47"/>
  <c r="U15" i="47"/>
  <c r="H34" i="47"/>
  <c r="L34" i="47"/>
  <c r="P34" i="47"/>
  <c r="T34" i="47"/>
  <c r="Y34" i="47"/>
  <c r="H35" i="47"/>
  <c r="I35" i="47" s="1"/>
  <c r="L35" i="47"/>
  <c r="M35" i="47" s="1"/>
  <c r="P35" i="47"/>
  <c r="Q35" i="47" s="1"/>
  <c r="T35" i="47"/>
  <c r="U35" i="47" s="1"/>
  <c r="Y35" i="47"/>
  <c r="Z35" i="47" s="1"/>
  <c r="H36" i="47"/>
  <c r="L36" i="47"/>
  <c r="P36" i="47"/>
  <c r="T36" i="47"/>
  <c r="Y36" i="47"/>
  <c r="E39" i="47"/>
  <c r="Q9" i="47"/>
  <c r="N34" i="47"/>
  <c r="F35" i="47"/>
  <c r="G35" i="47" s="1"/>
  <c r="R35" i="47"/>
  <c r="S35" i="47" s="1"/>
  <c r="J36" i="47"/>
  <c r="L14" i="46"/>
  <c r="M14" i="46" s="1"/>
  <c r="M13" i="46"/>
  <c r="X9" i="46"/>
  <c r="S9" i="46"/>
  <c r="O9" i="46"/>
  <c r="K9" i="46"/>
  <c r="G9" i="46"/>
  <c r="E16" i="46"/>
  <c r="Z9" i="46"/>
  <c r="K13" i="46"/>
  <c r="J14" i="46"/>
  <c r="K14" i="46" s="1"/>
  <c r="U9" i="46"/>
  <c r="I11" i="46"/>
  <c r="Y11" i="46"/>
  <c r="Q13" i="46"/>
  <c r="G13" i="46"/>
  <c r="F14" i="46"/>
  <c r="G14" i="46" s="1"/>
  <c r="Q9" i="46"/>
  <c r="M11" i="46"/>
  <c r="Y12" i="46"/>
  <c r="Z12" i="46" s="1"/>
  <c r="T14" i="46"/>
  <c r="U14" i="46" s="1"/>
  <c r="U13" i="46"/>
  <c r="O13" i="46"/>
  <c r="N14" i="46"/>
  <c r="O14" i="46" s="1"/>
  <c r="M9" i="46"/>
  <c r="S13" i="46"/>
  <c r="R14" i="46"/>
  <c r="S14" i="46" s="1"/>
  <c r="H14" i="46"/>
  <c r="I14" i="46" s="1"/>
  <c r="I13" i="46"/>
  <c r="Y13" i="46"/>
  <c r="F34" i="46"/>
  <c r="R34" i="46"/>
  <c r="J35" i="46"/>
  <c r="K35" i="46" s="1"/>
  <c r="R35" i="46"/>
  <c r="S35" i="46" s="1"/>
  <c r="J36" i="46"/>
  <c r="W36" i="46"/>
  <c r="G32" i="46"/>
  <c r="K32" i="46"/>
  <c r="O32" i="46"/>
  <c r="S32" i="46"/>
  <c r="X32" i="46"/>
  <c r="J34" i="46"/>
  <c r="W34" i="46"/>
  <c r="N35" i="46"/>
  <c r="O35" i="46" s="1"/>
  <c r="F36" i="46"/>
  <c r="R36" i="46"/>
  <c r="F11" i="46"/>
  <c r="J11" i="46"/>
  <c r="N11" i="46"/>
  <c r="R11" i="46"/>
  <c r="W11" i="46"/>
  <c r="F12" i="46"/>
  <c r="G12" i="46" s="1"/>
  <c r="J12" i="46"/>
  <c r="K12" i="46" s="1"/>
  <c r="N12" i="46"/>
  <c r="O12" i="46" s="1"/>
  <c r="R12" i="46"/>
  <c r="S12" i="46" s="1"/>
  <c r="W12" i="46"/>
  <c r="X12" i="46" s="1"/>
  <c r="W13" i="46"/>
  <c r="H34" i="46"/>
  <c r="L34" i="46"/>
  <c r="P34" i="46"/>
  <c r="T34" i="46"/>
  <c r="Y34" i="46"/>
  <c r="H35" i="46"/>
  <c r="I35" i="46" s="1"/>
  <c r="L35" i="46"/>
  <c r="M35" i="46" s="1"/>
  <c r="P35" i="46"/>
  <c r="Q35" i="46" s="1"/>
  <c r="T35" i="46"/>
  <c r="U35" i="46" s="1"/>
  <c r="Y35" i="46"/>
  <c r="Z35" i="46" s="1"/>
  <c r="H36" i="46"/>
  <c r="L36" i="46"/>
  <c r="P36" i="46"/>
  <c r="T36" i="46"/>
  <c r="Y36" i="46"/>
  <c r="E39" i="46"/>
  <c r="N34" i="46"/>
  <c r="F35" i="46"/>
  <c r="G35" i="46" s="1"/>
  <c r="N36" i="46"/>
  <c r="T11" i="45"/>
  <c r="M13" i="45"/>
  <c r="M12" i="45"/>
  <c r="I13" i="45"/>
  <c r="H14" i="45"/>
  <c r="I14" i="45" s="1"/>
  <c r="I9" i="45"/>
  <c r="Z13" i="45"/>
  <c r="Y14" i="45"/>
  <c r="Z14" i="45" s="1"/>
  <c r="F36" i="45"/>
  <c r="F34" i="45"/>
  <c r="G32" i="45"/>
  <c r="F35" i="45"/>
  <c r="G35" i="45" s="1"/>
  <c r="X9" i="45"/>
  <c r="S9" i="45"/>
  <c r="O9" i="45"/>
  <c r="K9" i="45"/>
  <c r="G9" i="45"/>
  <c r="Z9" i="45"/>
  <c r="K13" i="45"/>
  <c r="J14" i="45"/>
  <c r="K14" i="45" s="1"/>
  <c r="U9" i="45"/>
  <c r="H15" i="45"/>
  <c r="I15" i="45" s="1"/>
  <c r="I11" i="45"/>
  <c r="Y11" i="45"/>
  <c r="N36" i="45"/>
  <c r="N34" i="45"/>
  <c r="O32" i="45"/>
  <c r="N35" i="45"/>
  <c r="O35" i="45" s="1"/>
  <c r="M11" i="45"/>
  <c r="Y12" i="45"/>
  <c r="Z12" i="45" s="1"/>
  <c r="P14" i="45"/>
  <c r="Q14" i="45" s="1"/>
  <c r="J35" i="45"/>
  <c r="K35" i="45" s="1"/>
  <c r="K32" i="45"/>
  <c r="J36" i="45"/>
  <c r="J34" i="45"/>
  <c r="R35" i="45"/>
  <c r="S35" i="45" s="1"/>
  <c r="S32" i="45"/>
  <c r="R36" i="45"/>
  <c r="R34" i="45"/>
  <c r="O13" i="45"/>
  <c r="N14" i="45"/>
  <c r="O14" i="45" s="1"/>
  <c r="U11" i="45"/>
  <c r="W36" i="45"/>
  <c r="W34" i="45"/>
  <c r="X32" i="45"/>
  <c r="W35" i="45"/>
  <c r="X35" i="45" s="1"/>
  <c r="G13" i="45"/>
  <c r="F14" i="45"/>
  <c r="G14" i="45" s="1"/>
  <c r="Q9" i="45"/>
  <c r="H16" i="45"/>
  <c r="I16" i="45" s="1"/>
  <c r="M9" i="45"/>
  <c r="S13" i="45"/>
  <c r="R14" i="45"/>
  <c r="S14" i="45" s="1"/>
  <c r="P15" i="45"/>
  <c r="P16" i="45" s="1"/>
  <c r="Q16" i="45" s="1"/>
  <c r="Q11" i="45"/>
  <c r="T14" i="45"/>
  <c r="U14" i="45" s="1"/>
  <c r="F11" i="45"/>
  <c r="J11" i="45"/>
  <c r="N11" i="45"/>
  <c r="R11" i="45"/>
  <c r="W11" i="45"/>
  <c r="F12" i="45"/>
  <c r="G12" i="45" s="1"/>
  <c r="J12" i="45"/>
  <c r="K12" i="45" s="1"/>
  <c r="N12" i="45"/>
  <c r="O12" i="45" s="1"/>
  <c r="R12" i="45"/>
  <c r="S12" i="45" s="1"/>
  <c r="W12" i="45"/>
  <c r="X12" i="45" s="1"/>
  <c r="W13" i="45"/>
  <c r="H34" i="45"/>
  <c r="P34" i="45"/>
  <c r="T34" i="45"/>
  <c r="Y34" i="45"/>
  <c r="H35" i="45"/>
  <c r="I35" i="45" s="1"/>
  <c r="M35" i="45"/>
  <c r="P35" i="45"/>
  <c r="Q35" i="45" s="1"/>
  <c r="T35" i="45"/>
  <c r="U35" i="45" s="1"/>
  <c r="Y35" i="45"/>
  <c r="Z35" i="45" s="1"/>
  <c r="H36" i="45"/>
  <c r="P36" i="45"/>
  <c r="T36" i="45"/>
  <c r="Y36" i="45"/>
  <c r="E39" i="45"/>
  <c r="Y36" i="4"/>
  <c r="Y37" i="4" s="1"/>
  <c r="Y35" i="4"/>
  <c r="Y38" i="4" s="1"/>
  <c r="Y39" i="4" s="1"/>
  <c r="T14" i="50" l="1"/>
  <c r="U14" i="50" s="1"/>
  <c r="Q13" i="50"/>
  <c r="P14" i="49"/>
  <c r="Q14" i="49" s="1"/>
  <c r="T15" i="48"/>
  <c r="P15" i="47"/>
  <c r="M11" i="47"/>
  <c r="L16" i="47"/>
  <c r="M16" i="47" s="1"/>
  <c r="L15" i="46"/>
  <c r="H15" i="46"/>
  <c r="L14" i="45"/>
  <c r="M14" i="45" s="1"/>
  <c r="J37" i="50"/>
  <c r="K37" i="50" s="1"/>
  <c r="K36" i="50"/>
  <c r="X13" i="50"/>
  <c r="W14" i="50"/>
  <c r="X14" i="50" s="1"/>
  <c r="N15" i="50"/>
  <c r="O11" i="50"/>
  <c r="W37" i="50"/>
  <c r="X37" i="50" s="1"/>
  <c r="X36" i="50"/>
  <c r="Z13" i="50"/>
  <c r="Y14" i="50"/>
  <c r="Z14" i="50" s="1"/>
  <c r="Z36" i="50"/>
  <c r="Y37" i="50"/>
  <c r="Z37" i="50" s="1"/>
  <c r="I36" i="50"/>
  <c r="H37" i="50"/>
  <c r="I37" i="50" s="1"/>
  <c r="Q34" i="50"/>
  <c r="J15" i="50"/>
  <c r="K11" i="50"/>
  <c r="Q16" i="50"/>
  <c r="I16" i="50"/>
  <c r="M16" i="50"/>
  <c r="U34" i="50"/>
  <c r="G34" i="50"/>
  <c r="J38" i="50"/>
  <c r="K34" i="50"/>
  <c r="U36" i="50"/>
  <c r="T37" i="50"/>
  <c r="U37" i="50" s="1"/>
  <c r="M34" i="50"/>
  <c r="M15" i="50"/>
  <c r="X11" i="50"/>
  <c r="F15" i="50"/>
  <c r="G11" i="50"/>
  <c r="N37" i="50"/>
  <c r="O37" i="50" s="1"/>
  <c r="O36" i="50"/>
  <c r="O34" i="50"/>
  <c r="Y15" i="50"/>
  <c r="Z11" i="50"/>
  <c r="W38" i="50"/>
  <c r="M36" i="50"/>
  <c r="L37" i="50"/>
  <c r="M37" i="50" s="1"/>
  <c r="R37" i="50"/>
  <c r="S37" i="50" s="1"/>
  <c r="S36" i="50"/>
  <c r="Q36" i="50"/>
  <c r="P37" i="50"/>
  <c r="Q37" i="50" s="1"/>
  <c r="Z34" i="50"/>
  <c r="Y38" i="50"/>
  <c r="H38" i="50"/>
  <c r="I34" i="50"/>
  <c r="I15" i="50"/>
  <c r="R15" i="50"/>
  <c r="S11" i="50"/>
  <c r="F37" i="50"/>
  <c r="G37" i="50" s="1"/>
  <c r="G36" i="50"/>
  <c r="R38" i="50"/>
  <c r="S34" i="50"/>
  <c r="T15" i="50"/>
  <c r="F37" i="49"/>
  <c r="G37" i="49" s="1"/>
  <c r="G36" i="49"/>
  <c r="S34" i="49"/>
  <c r="Z36" i="49"/>
  <c r="Y37" i="49"/>
  <c r="Z37" i="49" s="1"/>
  <c r="I36" i="49"/>
  <c r="H37" i="49"/>
  <c r="I37" i="49" s="1"/>
  <c r="Q34" i="49"/>
  <c r="J15" i="49"/>
  <c r="K11" i="49"/>
  <c r="N37" i="49"/>
  <c r="O37" i="49" s="1"/>
  <c r="O36" i="49"/>
  <c r="J38" i="49"/>
  <c r="K34" i="49"/>
  <c r="R37" i="49"/>
  <c r="S37" i="49" s="1"/>
  <c r="S36" i="49"/>
  <c r="Z13" i="49"/>
  <c r="Y14" i="49"/>
  <c r="Z14" i="49" s="1"/>
  <c r="H15" i="49"/>
  <c r="J37" i="49"/>
  <c r="K37" i="49" s="1"/>
  <c r="K36" i="49"/>
  <c r="U36" i="49"/>
  <c r="T37" i="49"/>
  <c r="U37" i="49" s="1"/>
  <c r="M34" i="49"/>
  <c r="Q36" i="49"/>
  <c r="P37" i="49"/>
  <c r="Q37" i="49" s="1"/>
  <c r="Z34" i="49"/>
  <c r="H38" i="49"/>
  <c r="I34" i="49"/>
  <c r="R15" i="49"/>
  <c r="S11" i="49"/>
  <c r="F38" i="49"/>
  <c r="G34" i="49"/>
  <c r="X11" i="49"/>
  <c r="F15" i="49"/>
  <c r="G11" i="49"/>
  <c r="M36" i="49"/>
  <c r="L37" i="49"/>
  <c r="M37" i="49" s="1"/>
  <c r="U34" i="49"/>
  <c r="X13" i="49"/>
  <c r="W14" i="49"/>
  <c r="X14" i="49" s="1"/>
  <c r="N15" i="49"/>
  <c r="O11" i="49"/>
  <c r="W38" i="49"/>
  <c r="X34" i="49"/>
  <c r="N38" i="49"/>
  <c r="O34" i="49"/>
  <c r="P15" i="49"/>
  <c r="U16" i="49"/>
  <c r="M16" i="49"/>
  <c r="Y15" i="49"/>
  <c r="Q36" i="48"/>
  <c r="P37" i="48"/>
  <c r="Q37" i="48" s="1"/>
  <c r="Z34" i="48"/>
  <c r="I34" i="48"/>
  <c r="R15" i="48"/>
  <c r="S11" i="48"/>
  <c r="R37" i="48"/>
  <c r="S37" i="48" s="1"/>
  <c r="S36" i="48"/>
  <c r="O34" i="48"/>
  <c r="Y14" i="48"/>
  <c r="Z14" i="48" s="1"/>
  <c r="Z13" i="48"/>
  <c r="M36" i="48"/>
  <c r="L37" i="48"/>
  <c r="M37" i="48" s="1"/>
  <c r="U34" i="48"/>
  <c r="X13" i="48"/>
  <c r="W14" i="48"/>
  <c r="X14" i="48" s="1"/>
  <c r="N15" i="48"/>
  <c r="O11" i="48"/>
  <c r="R38" i="48"/>
  <c r="S34" i="48"/>
  <c r="F37" i="48"/>
  <c r="G37" i="48" s="1"/>
  <c r="G36" i="48"/>
  <c r="Z11" i="48"/>
  <c r="K34" i="48"/>
  <c r="Z36" i="48"/>
  <c r="Y37" i="48"/>
  <c r="Z37" i="48" s="1"/>
  <c r="I36" i="48"/>
  <c r="H37" i="48"/>
  <c r="I37" i="48" s="1"/>
  <c r="P38" i="48"/>
  <c r="Q34" i="48"/>
  <c r="J15" i="48"/>
  <c r="K11" i="48"/>
  <c r="K36" i="48"/>
  <c r="J37" i="48"/>
  <c r="K37" i="48" s="1"/>
  <c r="G34" i="48"/>
  <c r="I16" i="48"/>
  <c r="M16" i="48"/>
  <c r="N37" i="48"/>
  <c r="O37" i="48" s="1"/>
  <c r="O36" i="48"/>
  <c r="U36" i="48"/>
  <c r="T37" i="48"/>
  <c r="U37" i="48" s="1"/>
  <c r="L38" i="48"/>
  <c r="M34" i="48"/>
  <c r="X11" i="48"/>
  <c r="W15" i="48"/>
  <c r="F15" i="48"/>
  <c r="G11" i="48"/>
  <c r="W38" i="48"/>
  <c r="X34" i="48"/>
  <c r="P15" i="48"/>
  <c r="Q36" i="47"/>
  <c r="P37" i="47"/>
  <c r="Q37" i="47" s="1"/>
  <c r="Z34" i="47"/>
  <c r="I34" i="47"/>
  <c r="R15" i="47"/>
  <c r="S11" i="47"/>
  <c r="R37" i="47"/>
  <c r="S37" i="47" s="1"/>
  <c r="S36" i="47"/>
  <c r="K34" i="47"/>
  <c r="H15" i="47"/>
  <c r="M36" i="47"/>
  <c r="L37" i="47"/>
  <c r="M37" i="47" s="1"/>
  <c r="U34" i="47"/>
  <c r="X13" i="47"/>
  <c r="W14" i="47"/>
  <c r="X14" i="47" s="1"/>
  <c r="N15" i="47"/>
  <c r="O11" i="47"/>
  <c r="R38" i="47"/>
  <c r="S34" i="47"/>
  <c r="F37" i="47"/>
  <c r="G37" i="47" s="1"/>
  <c r="G36" i="47"/>
  <c r="O34" i="47"/>
  <c r="Z36" i="47"/>
  <c r="Y37" i="47"/>
  <c r="Z37" i="47" s="1"/>
  <c r="I36" i="47"/>
  <c r="H37" i="47"/>
  <c r="I37" i="47" s="1"/>
  <c r="Q34" i="47"/>
  <c r="J15" i="47"/>
  <c r="K11" i="47"/>
  <c r="N37" i="47"/>
  <c r="O37" i="47" s="1"/>
  <c r="O36" i="47"/>
  <c r="G34" i="47"/>
  <c r="U16" i="47"/>
  <c r="Y15" i="47"/>
  <c r="Z11" i="47"/>
  <c r="K36" i="47"/>
  <c r="J37" i="47"/>
  <c r="K37" i="47" s="1"/>
  <c r="U36" i="47"/>
  <c r="T37" i="47"/>
  <c r="U37" i="47" s="1"/>
  <c r="L38" i="47"/>
  <c r="M34" i="47"/>
  <c r="X11" i="47"/>
  <c r="W15" i="47"/>
  <c r="F15" i="47"/>
  <c r="G11" i="47"/>
  <c r="W38" i="47"/>
  <c r="X34" i="47"/>
  <c r="O34" i="46"/>
  <c r="U36" i="46"/>
  <c r="T37" i="46"/>
  <c r="U37" i="46" s="1"/>
  <c r="M34" i="46"/>
  <c r="Q36" i="46"/>
  <c r="P37" i="46"/>
  <c r="Q37" i="46" s="1"/>
  <c r="Z34" i="46"/>
  <c r="I34" i="46"/>
  <c r="R15" i="46"/>
  <c r="S11" i="46"/>
  <c r="X34" i="46"/>
  <c r="X36" i="46"/>
  <c r="W37" i="46"/>
  <c r="X37" i="46" s="1"/>
  <c r="S34" i="46"/>
  <c r="F15" i="46"/>
  <c r="G11" i="46"/>
  <c r="O36" i="46"/>
  <c r="N37" i="46"/>
  <c r="O37" i="46" s="1"/>
  <c r="M36" i="46"/>
  <c r="L37" i="46"/>
  <c r="M37" i="46" s="1"/>
  <c r="U34" i="46"/>
  <c r="X13" i="46"/>
  <c r="W14" i="46"/>
  <c r="X14" i="46" s="1"/>
  <c r="N15" i="46"/>
  <c r="O11" i="46"/>
  <c r="R37" i="46"/>
  <c r="S37" i="46" s="1"/>
  <c r="S36" i="46"/>
  <c r="K34" i="46"/>
  <c r="J37" i="46"/>
  <c r="K37" i="46" s="1"/>
  <c r="K36" i="46"/>
  <c r="G34" i="46"/>
  <c r="T15" i="46"/>
  <c r="Z11" i="46"/>
  <c r="X11" i="46"/>
  <c r="Z36" i="46"/>
  <c r="Y37" i="46"/>
  <c r="Z37" i="46" s="1"/>
  <c r="I36" i="46"/>
  <c r="H37" i="46"/>
  <c r="I37" i="46" s="1"/>
  <c r="Q34" i="46"/>
  <c r="J15" i="46"/>
  <c r="K11" i="46"/>
  <c r="F37" i="46"/>
  <c r="G37" i="46" s="1"/>
  <c r="G36" i="46"/>
  <c r="Y14" i="46"/>
  <c r="Z14" i="46" s="1"/>
  <c r="Z13" i="46"/>
  <c r="P15" i="46"/>
  <c r="M36" i="45"/>
  <c r="L37" i="45"/>
  <c r="M37" i="45" s="1"/>
  <c r="X34" i="45"/>
  <c r="K34" i="45"/>
  <c r="G34" i="45"/>
  <c r="I36" i="45"/>
  <c r="H37" i="45"/>
  <c r="I37" i="45" s="1"/>
  <c r="Q15" i="45"/>
  <c r="J15" i="45"/>
  <c r="K11" i="45"/>
  <c r="X36" i="45"/>
  <c r="W37" i="45"/>
  <c r="X37" i="45" s="1"/>
  <c r="J37" i="45"/>
  <c r="K37" i="45" s="1"/>
  <c r="K36" i="45"/>
  <c r="O34" i="45"/>
  <c r="Y15" i="45"/>
  <c r="Z11" i="45"/>
  <c r="G36" i="45"/>
  <c r="F37" i="45"/>
  <c r="G37" i="45" s="1"/>
  <c r="N15" i="45"/>
  <c r="O11" i="45"/>
  <c r="R37" i="45"/>
  <c r="S37" i="45" s="1"/>
  <c r="S36" i="45"/>
  <c r="U36" i="45"/>
  <c r="T37" i="45"/>
  <c r="U37" i="45" s="1"/>
  <c r="M34" i="45"/>
  <c r="X11" i="45"/>
  <c r="O36" i="45"/>
  <c r="N37" i="45"/>
  <c r="O37" i="45" s="1"/>
  <c r="U34" i="45"/>
  <c r="X13" i="45"/>
  <c r="W14" i="45"/>
  <c r="X14" i="45" s="1"/>
  <c r="Z36" i="45"/>
  <c r="Y37" i="45"/>
  <c r="Z37" i="45" s="1"/>
  <c r="Q34" i="45"/>
  <c r="F15" i="45"/>
  <c r="G11" i="45"/>
  <c r="Q36" i="45"/>
  <c r="P37" i="45"/>
  <c r="Q37" i="45" s="1"/>
  <c r="Z34" i="45"/>
  <c r="Y38" i="45"/>
  <c r="I34" i="45"/>
  <c r="R15" i="45"/>
  <c r="S11" i="45"/>
  <c r="T15" i="45"/>
  <c r="S34" i="45"/>
  <c r="T37" i="4"/>
  <c r="T36" i="4"/>
  <c r="T35" i="4"/>
  <c r="T34" i="4"/>
  <c r="P14" i="4"/>
  <c r="P13" i="4"/>
  <c r="P12" i="4"/>
  <c r="P11" i="4"/>
  <c r="P37" i="4"/>
  <c r="P36" i="4"/>
  <c r="P35" i="4"/>
  <c r="P34" i="4"/>
  <c r="T14" i="4"/>
  <c r="T13" i="4"/>
  <c r="T12" i="4"/>
  <c r="T11" i="4"/>
  <c r="Y38" i="49" l="1"/>
  <c r="Y39" i="49" s="1"/>
  <c r="Z39" i="49" s="1"/>
  <c r="Y15" i="48"/>
  <c r="T16" i="48"/>
  <c r="U16" i="48" s="1"/>
  <c r="U15" i="48"/>
  <c r="F38" i="48"/>
  <c r="P38" i="47"/>
  <c r="P16" i="47"/>
  <c r="Q16" i="47" s="1"/>
  <c r="Q15" i="47"/>
  <c r="F38" i="47"/>
  <c r="W38" i="46"/>
  <c r="X38" i="46" s="1"/>
  <c r="M15" i="46"/>
  <c r="L16" i="46"/>
  <c r="M16" i="46" s="1"/>
  <c r="I15" i="46"/>
  <c r="H16" i="46"/>
  <c r="I16" i="46" s="1"/>
  <c r="T38" i="45"/>
  <c r="R38" i="45"/>
  <c r="S38" i="45" s="1"/>
  <c r="L38" i="45"/>
  <c r="L15" i="45"/>
  <c r="L16" i="45" s="1"/>
  <c r="M16" i="45" s="1"/>
  <c r="R39" i="50"/>
  <c r="S39" i="50" s="1"/>
  <c r="S38" i="50"/>
  <c r="Z38" i="50"/>
  <c r="Y39" i="50"/>
  <c r="Z39" i="50" s="1"/>
  <c r="Z15" i="50"/>
  <c r="Y16" i="50"/>
  <c r="Z16" i="50" s="1"/>
  <c r="F38" i="50"/>
  <c r="P38" i="50"/>
  <c r="T16" i="50"/>
  <c r="U16" i="50" s="1"/>
  <c r="U15" i="50"/>
  <c r="X38" i="50"/>
  <c r="W39" i="50"/>
  <c r="X39" i="50" s="1"/>
  <c r="N38" i="50"/>
  <c r="G15" i="50"/>
  <c r="F16" i="50"/>
  <c r="G16" i="50" s="1"/>
  <c r="S15" i="50"/>
  <c r="R16" i="50"/>
  <c r="S16" i="50" s="1"/>
  <c r="H39" i="50"/>
  <c r="I39" i="50" s="1"/>
  <c r="I38" i="50"/>
  <c r="W15" i="50"/>
  <c r="L38" i="50"/>
  <c r="K38" i="50"/>
  <c r="J39" i="50"/>
  <c r="K39" i="50" s="1"/>
  <c r="T38" i="50"/>
  <c r="K15" i="50"/>
  <c r="J16" i="50"/>
  <c r="K16" i="50" s="1"/>
  <c r="O15" i="50"/>
  <c r="N16" i="50"/>
  <c r="O16" i="50" s="1"/>
  <c r="P16" i="49"/>
  <c r="Q16" i="49" s="1"/>
  <c r="Q15" i="49"/>
  <c r="X38" i="49"/>
  <c r="W39" i="49"/>
  <c r="X39" i="49" s="1"/>
  <c r="G15" i="49"/>
  <c r="F16" i="49"/>
  <c r="G16" i="49" s="1"/>
  <c r="G38" i="49"/>
  <c r="F39" i="49"/>
  <c r="G39" i="49" s="1"/>
  <c r="H39" i="49"/>
  <c r="I39" i="49" s="1"/>
  <c r="I38" i="49"/>
  <c r="W15" i="49"/>
  <c r="K38" i="49"/>
  <c r="J39" i="49"/>
  <c r="K39" i="49" s="1"/>
  <c r="K15" i="49"/>
  <c r="J16" i="49"/>
  <c r="K16" i="49" s="1"/>
  <c r="R38" i="49"/>
  <c r="Z15" i="49"/>
  <c r="Y16" i="49"/>
  <c r="Z16" i="49" s="1"/>
  <c r="N39" i="49"/>
  <c r="O39" i="49" s="1"/>
  <c r="O38" i="49"/>
  <c r="O15" i="49"/>
  <c r="N16" i="49"/>
  <c r="O16" i="49" s="1"/>
  <c r="T38" i="49"/>
  <c r="S15" i="49"/>
  <c r="R16" i="49"/>
  <c r="S16" i="49" s="1"/>
  <c r="L38" i="49"/>
  <c r="I15" i="49"/>
  <c r="H16" i="49"/>
  <c r="I16" i="49" s="1"/>
  <c r="P38" i="49"/>
  <c r="Y38" i="48"/>
  <c r="Q15" i="48"/>
  <c r="P16" i="48"/>
  <c r="Q16" i="48" s="1"/>
  <c r="G15" i="48"/>
  <c r="F16" i="48"/>
  <c r="G16" i="48" s="1"/>
  <c r="L39" i="48"/>
  <c r="M39" i="48" s="1"/>
  <c r="M38" i="48"/>
  <c r="F39" i="48"/>
  <c r="G39" i="48" s="1"/>
  <c r="G38" i="48"/>
  <c r="K15" i="48"/>
  <c r="J16" i="48"/>
  <c r="K16" i="48" s="1"/>
  <c r="J38" i="48"/>
  <c r="O15" i="48"/>
  <c r="N16" i="48"/>
  <c r="O16" i="48" s="1"/>
  <c r="T38" i="48"/>
  <c r="N38" i="48"/>
  <c r="S15" i="48"/>
  <c r="R16" i="48"/>
  <c r="S16" i="48" s="1"/>
  <c r="X15" i="48"/>
  <c r="W16" i="48"/>
  <c r="X16" i="48" s="1"/>
  <c r="W39" i="48"/>
  <c r="X39" i="48" s="1"/>
  <c r="X38" i="48"/>
  <c r="P39" i="48"/>
  <c r="Q39" i="48" s="1"/>
  <c r="Q38" i="48"/>
  <c r="Z15" i="48"/>
  <c r="Y16" i="48"/>
  <c r="Z16" i="48" s="1"/>
  <c r="S38" i="48"/>
  <c r="R39" i="48"/>
  <c r="S39" i="48" s="1"/>
  <c r="H38" i="48"/>
  <c r="X38" i="47"/>
  <c r="W39" i="47"/>
  <c r="X39" i="47" s="1"/>
  <c r="Z15" i="47"/>
  <c r="Y16" i="47"/>
  <c r="Z16" i="47" s="1"/>
  <c r="F39" i="47"/>
  <c r="G39" i="47" s="1"/>
  <c r="G38" i="47"/>
  <c r="K15" i="47"/>
  <c r="J16" i="47"/>
  <c r="K16" i="47" s="1"/>
  <c r="N38" i="47"/>
  <c r="R39" i="47"/>
  <c r="S39" i="47" s="1"/>
  <c r="S38" i="47"/>
  <c r="Y38" i="47"/>
  <c r="J38" i="47"/>
  <c r="S15" i="47"/>
  <c r="R16" i="47"/>
  <c r="S16" i="47" s="1"/>
  <c r="G15" i="47"/>
  <c r="F16" i="47"/>
  <c r="G16" i="47" s="1"/>
  <c r="L39" i="47"/>
  <c r="M39" i="47" s="1"/>
  <c r="M38" i="47"/>
  <c r="Q38" i="47"/>
  <c r="P39" i="47"/>
  <c r="Q39" i="47" s="1"/>
  <c r="O15" i="47"/>
  <c r="N16" i="47"/>
  <c r="O16" i="47" s="1"/>
  <c r="T38" i="47"/>
  <c r="X15" i="47"/>
  <c r="W16" i="47"/>
  <c r="X16" i="47" s="1"/>
  <c r="H16" i="47"/>
  <c r="I16" i="47" s="1"/>
  <c r="I15" i="47"/>
  <c r="H38" i="47"/>
  <c r="Y15" i="46"/>
  <c r="T16" i="46"/>
  <c r="U16" i="46" s="1"/>
  <c r="U15" i="46"/>
  <c r="R38" i="46"/>
  <c r="H38" i="46"/>
  <c r="K15" i="46"/>
  <c r="J16" i="46"/>
  <c r="K16" i="46" s="1"/>
  <c r="P38" i="46"/>
  <c r="Y38" i="46"/>
  <c r="Q15" i="46"/>
  <c r="P16" i="46"/>
  <c r="Q16" i="46" s="1"/>
  <c r="W15" i="46"/>
  <c r="F38" i="46"/>
  <c r="J38" i="46"/>
  <c r="O15" i="46"/>
  <c r="N16" i="46"/>
  <c r="O16" i="46" s="1"/>
  <c r="T38" i="46"/>
  <c r="G15" i="46"/>
  <c r="F16" i="46"/>
  <c r="G16" i="46" s="1"/>
  <c r="S15" i="46"/>
  <c r="R16" i="46"/>
  <c r="S16" i="46" s="1"/>
  <c r="L38" i="46"/>
  <c r="N38" i="46"/>
  <c r="H38" i="45"/>
  <c r="H39" i="45" s="1"/>
  <c r="I39" i="45" s="1"/>
  <c r="K15" i="45"/>
  <c r="J16" i="45"/>
  <c r="K16" i="45" s="1"/>
  <c r="S15" i="45"/>
  <c r="R16" i="45"/>
  <c r="S16" i="45" s="1"/>
  <c r="M38" i="45"/>
  <c r="L39" i="45"/>
  <c r="M39" i="45" s="1"/>
  <c r="N38" i="45"/>
  <c r="F38" i="45"/>
  <c r="W38" i="45"/>
  <c r="Y39" i="45"/>
  <c r="Z39" i="45" s="1"/>
  <c r="Z38" i="45"/>
  <c r="G15" i="45"/>
  <c r="F16" i="45"/>
  <c r="G16" i="45" s="1"/>
  <c r="T39" i="45"/>
  <c r="U39" i="45" s="1"/>
  <c r="U38" i="45"/>
  <c r="W15" i="45"/>
  <c r="T16" i="45"/>
  <c r="U16" i="45" s="1"/>
  <c r="U15" i="45"/>
  <c r="P38" i="45"/>
  <c r="O15" i="45"/>
  <c r="N16" i="45"/>
  <c r="O16" i="45" s="1"/>
  <c r="Z15" i="45"/>
  <c r="Y16" i="45"/>
  <c r="Z16" i="45" s="1"/>
  <c r="J38" i="45"/>
  <c r="H37" i="4"/>
  <c r="H36" i="4"/>
  <c r="H35" i="4"/>
  <c r="H34" i="4"/>
  <c r="F14" i="4"/>
  <c r="F13" i="4"/>
  <c r="F12" i="4"/>
  <c r="F11" i="4"/>
  <c r="Z38" i="49" l="1"/>
  <c r="W39" i="46"/>
  <c r="X39" i="46" s="1"/>
  <c r="R39" i="45"/>
  <c r="S39" i="45" s="1"/>
  <c r="M15" i="45"/>
  <c r="I38" i="45"/>
  <c r="T39" i="50"/>
  <c r="U39" i="50" s="1"/>
  <c r="U38" i="50"/>
  <c r="F39" i="50"/>
  <c r="G39" i="50" s="1"/>
  <c r="G38" i="50"/>
  <c r="W16" i="50"/>
  <c r="X16" i="50" s="1"/>
  <c r="X15" i="50"/>
  <c r="P39" i="50"/>
  <c r="Q39" i="50" s="1"/>
  <c r="Q38" i="50"/>
  <c r="M38" i="50"/>
  <c r="L39" i="50"/>
  <c r="M39" i="50" s="1"/>
  <c r="N39" i="50"/>
  <c r="O39" i="50" s="1"/>
  <c r="O38" i="50"/>
  <c r="L39" i="49"/>
  <c r="M39" i="49" s="1"/>
  <c r="M38" i="49"/>
  <c r="P39" i="49"/>
  <c r="Q39" i="49" s="1"/>
  <c r="Q38" i="49"/>
  <c r="R39" i="49"/>
  <c r="S39" i="49" s="1"/>
  <c r="S38" i="49"/>
  <c r="X15" i="49"/>
  <c r="W16" i="49"/>
  <c r="X16" i="49" s="1"/>
  <c r="T39" i="49"/>
  <c r="U39" i="49" s="1"/>
  <c r="U38" i="49"/>
  <c r="O38" i="48"/>
  <c r="N39" i="48"/>
  <c r="O39" i="48" s="1"/>
  <c r="J39" i="48"/>
  <c r="K39" i="48" s="1"/>
  <c r="K38" i="48"/>
  <c r="U38" i="48"/>
  <c r="T39" i="48"/>
  <c r="U39" i="48" s="1"/>
  <c r="H39" i="48"/>
  <c r="I39" i="48" s="1"/>
  <c r="I38" i="48"/>
  <c r="Z38" i="48"/>
  <c r="Y39" i="48"/>
  <c r="Z39" i="48" s="1"/>
  <c r="T39" i="47"/>
  <c r="U39" i="47" s="1"/>
  <c r="U38" i="47"/>
  <c r="Z38" i="47"/>
  <c r="Y39" i="47"/>
  <c r="Z39" i="47" s="1"/>
  <c r="H39" i="47"/>
  <c r="I39" i="47" s="1"/>
  <c r="I38" i="47"/>
  <c r="J39" i="47"/>
  <c r="K39" i="47" s="1"/>
  <c r="K38" i="47"/>
  <c r="O38" i="47"/>
  <c r="N39" i="47"/>
  <c r="O39" i="47" s="1"/>
  <c r="U38" i="46"/>
  <c r="T39" i="46"/>
  <c r="U39" i="46" s="1"/>
  <c r="G38" i="46"/>
  <c r="F39" i="46"/>
  <c r="G39" i="46" s="1"/>
  <c r="Z38" i="46"/>
  <c r="Y39" i="46"/>
  <c r="Z39" i="46" s="1"/>
  <c r="H39" i="46"/>
  <c r="I39" i="46" s="1"/>
  <c r="I38" i="46"/>
  <c r="J39" i="46"/>
  <c r="K39" i="46" s="1"/>
  <c r="K38" i="46"/>
  <c r="W16" i="46"/>
  <c r="X16" i="46" s="1"/>
  <c r="X15" i="46"/>
  <c r="P39" i="46"/>
  <c r="Q39" i="46" s="1"/>
  <c r="Q38" i="46"/>
  <c r="L39" i="46"/>
  <c r="M39" i="46" s="1"/>
  <c r="M38" i="46"/>
  <c r="S38" i="46"/>
  <c r="R39" i="46"/>
  <c r="S39" i="46" s="1"/>
  <c r="N39" i="46"/>
  <c r="O39" i="46" s="1"/>
  <c r="O38" i="46"/>
  <c r="Y16" i="46"/>
  <c r="Z16" i="46" s="1"/>
  <c r="Z15" i="46"/>
  <c r="G38" i="45"/>
  <c r="F39" i="45"/>
  <c r="G39" i="45" s="1"/>
  <c r="N39" i="45"/>
  <c r="O39" i="45" s="1"/>
  <c r="O38" i="45"/>
  <c r="W16" i="45"/>
  <c r="X16" i="45" s="1"/>
  <c r="X15" i="45"/>
  <c r="K38" i="45"/>
  <c r="J39" i="45"/>
  <c r="K39" i="45" s="1"/>
  <c r="Q38" i="45"/>
  <c r="P39" i="45"/>
  <c r="Q39" i="45" s="1"/>
  <c r="X38" i="45"/>
  <c r="W39" i="45"/>
  <c r="X39" i="45" s="1"/>
  <c r="F32" i="4"/>
  <c r="F34" i="4" s="1"/>
  <c r="F36" i="4" l="1"/>
  <c r="F37" i="4" s="1"/>
  <c r="F35" i="4"/>
  <c r="Y1" i="4"/>
  <c r="Y19" i="4" s="1"/>
  <c r="W1" i="4"/>
  <c r="W19" i="4" s="1"/>
  <c r="T1" i="4"/>
  <c r="T19" i="4" s="1"/>
  <c r="R1" i="4"/>
  <c r="R19" i="4" s="1"/>
  <c r="P1" i="4"/>
  <c r="P19" i="4" s="1"/>
  <c r="N1" i="4"/>
  <c r="N19" i="4" s="1"/>
  <c r="L1" i="4"/>
  <c r="L19" i="4" s="1"/>
  <c r="J1" i="4"/>
  <c r="J19" i="4" s="1"/>
  <c r="H1" i="4"/>
  <c r="H19" i="4" s="1"/>
  <c r="F1" i="4"/>
  <c r="F19" i="4" s="1"/>
  <c r="Z31" i="4"/>
  <c r="Z30" i="4"/>
  <c r="Z29" i="4"/>
  <c r="Z28" i="4"/>
  <c r="Z27" i="4"/>
  <c r="Z26" i="4"/>
  <c r="Z25" i="4"/>
  <c r="Z24" i="4"/>
  <c r="Z23" i="4"/>
  <c r="Z22" i="4"/>
  <c r="Z21" i="4"/>
  <c r="Z20" i="4"/>
  <c r="Y9" i="4"/>
  <c r="Z8" i="4"/>
  <c r="Z7" i="4"/>
  <c r="Z6" i="4"/>
  <c r="Z5" i="4"/>
  <c r="Z4" i="4"/>
  <c r="Z3" i="4"/>
  <c r="Z2" i="4"/>
  <c r="V38" i="4"/>
  <c r="V39" i="4" s="1"/>
  <c r="W32" i="4"/>
  <c r="X31" i="4"/>
  <c r="X30" i="4"/>
  <c r="X29" i="4"/>
  <c r="X28" i="4"/>
  <c r="X27" i="4"/>
  <c r="X26" i="4"/>
  <c r="X25" i="4"/>
  <c r="X24" i="4"/>
  <c r="X23" i="4"/>
  <c r="X22" i="4"/>
  <c r="X21" i="4"/>
  <c r="X20" i="4"/>
  <c r="V15" i="4"/>
  <c r="W9" i="4"/>
  <c r="V9" i="4"/>
  <c r="X8" i="4"/>
  <c r="X7" i="4"/>
  <c r="X6" i="4"/>
  <c r="X5" i="4"/>
  <c r="X4" i="4"/>
  <c r="X3" i="4"/>
  <c r="X2" i="4"/>
  <c r="T32" i="4"/>
  <c r="U31" i="4"/>
  <c r="U30" i="4"/>
  <c r="U29" i="4"/>
  <c r="U28" i="4"/>
  <c r="U27" i="4"/>
  <c r="U26" i="4"/>
  <c r="U25" i="4"/>
  <c r="U24" i="4"/>
  <c r="U23" i="4"/>
  <c r="U22" i="4"/>
  <c r="U21" i="4"/>
  <c r="U20" i="4"/>
  <c r="T9" i="4"/>
  <c r="U8" i="4"/>
  <c r="U7" i="4"/>
  <c r="U6" i="4"/>
  <c r="U5" i="4"/>
  <c r="U4" i="4"/>
  <c r="U3" i="4"/>
  <c r="U2" i="4"/>
  <c r="R32" i="4"/>
  <c r="S31" i="4"/>
  <c r="S30" i="4"/>
  <c r="S29" i="4"/>
  <c r="S28" i="4"/>
  <c r="S27" i="4"/>
  <c r="S26" i="4"/>
  <c r="S25" i="4"/>
  <c r="S24" i="4"/>
  <c r="S23" i="4"/>
  <c r="S22" i="4"/>
  <c r="S21" i="4"/>
  <c r="S20" i="4"/>
  <c r="R9" i="4"/>
  <c r="S8" i="4"/>
  <c r="S7" i="4"/>
  <c r="S6" i="4"/>
  <c r="S5" i="4"/>
  <c r="S4" i="4"/>
  <c r="S3" i="4"/>
  <c r="S2" i="4"/>
  <c r="P32" i="4"/>
  <c r="Q31" i="4"/>
  <c r="Q30" i="4"/>
  <c r="Q29" i="4"/>
  <c r="Q28" i="4"/>
  <c r="Q27" i="4"/>
  <c r="Q26" i="4"/>
  <c r="Q25" i="4"/>
  <c r="Q24" i="4"/>
  <c r="Q23" i="4"/>
  <c r="Q22" i="4"/>
  <c r="Q21" i="4"/>
  <c r="Q20" i="4"/>
  <c r="P9" i="4"/>
  <c r="Q8" i="4"/>
  <c r="Q7" i="4"/>
  <c r="Q6" i="4"/>
  <c r="Q5" i="4"/>
  <c r="Q4" i="4"/>
  <c r="Q3" i="4"/>
  <c r="Q2" i="4"/>
  <c r="N32" i="4"/>
  <c r="O31" i="4"/>
  <c r="O30" i="4"/>
  <c r="O29" i="4"/>
  <c r="O28" i="4"/>
  <c r="O27" i="4"/>
  <c r="O26" i="4"/>
  <c r="O25" i="4"/>
  <c r="O24" i="4"/>
  <c r="O23" i="4"/>
  <c r="O22" i="4"/>
  <c r="O21" i="4"/>
  <c r="O20" i="4"/>
  <c r="N9" i="4"/>
  <c r="O8" i="4"/>
  <c r="O7" i="4"/>
  <c r="O6" i="4"/>
  <c r="O5" i="4"/>
  <c r="O4" i="4"/>
  <c r="O3" i="4"/>
  <c r="O2" i="4"/>
  <c r="L32" i="4"/>
  <c r="M31" i="4"/>
  <c r="M30" i="4"/>
  <c r="M29" i="4"/>
  <c r="M28" i="4"/>
  <c r="M27" i="4"/>
  <c r="M26" i="4"/>
  <c r="M25" i="4"/>
  <c r="M24" i="4"/>
  <c r="M23" i="4"/>
  <c r="M22" i="4"/>
  <c r="M21" i="4"/>
  <c r="M20" i="4"/>
  <c r="L9" i="4"/>
  <c r="M8" i="4"/>
  <c r="M7" i="4"/>
  <c r="M6" i="4"/>
  <c r="M5" i="4"/>
  <c r="M4" i="4"/>
  <c r="M3" i="4"/>
  <c r="M2" i="4"/>
  <c r="J32" i="4"/>
  <c r="K31" i="4"/>
  <c r="K30" i="4"/>
  <c r="K29" i="4"/>
  <c r="K28" i="4"/>
  <c r="K27" i="4"/>
  <c r="K26" i="4"/>
  <c r="K25" i="4"/>
  <c r="K24" i="4"/>
  <c r="K23" i="4"/>
  <c r="K22" i="4"/>
  <c r="K21" i="4"/>
  <c r="K20" i="4"/>
  <c r="J9" i="4"/>
  <c r="K8" i="4"/>
  <c r="K7" i="4"/>
  <c r="K6" i="4"/>
  <c r="K5" i="4"/>
  <c r="K4" i="4"/>
  <c r="K3" i="4"/>
  <c r="K2" i="4"/>
  <c r="H32" i="4"/>
  <c r="I31" i="4"/>
  <c r="I30" i="4"/>
  <c r="I29" i="4"/>
  <c r="I28" i="4"/>
  <c r="I27" i="4"/>
  <c r="I26" i="4"/>
  <c r="I25" i="4"/>
  <c r="I24" i="4"/>
  <c r="I23" i="4"/>
  <c r="I22" i="4"/>
  <c r="I21" i="4"/>
  <c r="I20" i="4"/>
  <c r="H9" i="4"/>
  <c r="I8" i="4"/>
  <c r="I7" i="4"/>
  <c r="I6" i="4"/>
  <c r="I5" i="4"/>
  <c r="I4" i="4"/>
  <c r="I3" i="4"/>
  <c r="I2" i="4"/>
  <c r="G31" i="4"/>
  <c r="G30" i="4"/>
  <c r="G29" i="4"/>
  <c r="G28" i="4"/>
  <c r="G27" i="4"/>
  <c r="G26" i="4"/>
  <c r="G25" i="4"/>
  <c r="G24" i="4"/>
  <c r="G23" i="4"/>
  <c r="G22" i="4"/>
  <c r="G21" i="4"/>
  <c r="G20" i="4"/>
  <c r="G8" i="4"/>
  <c r="G7" i="4"/>
  <c r="G6" i="4"/>
  <c r="G5" i="4"/>
  <c r="G4" i="4"/>
  <c r="G3" i="4"/>
  <c r="G2" i="4"/>
  <c r="F9" i="4"/>
  <c r="G34" i="4"/>
  <c r="E38" i="4"/>
  <c r="E39" i="4" s="1"/>
  <c r="F315" i="31"/>
  <c r="E315" i="31"/>
  <c r="G314" i="31"/>
  <c r="G313" i="31"/>
  <c r="G312" i="31"/>
  <c r="G311" i="31"/>
  <c r="G310" i="31"/>
  <c r="G309" i="31"/>
  <c r="G308" i="31"/>
  <c r="G307" i="31"/>
  <c r="G306" i="31"/>
  <c r="G315" i="31" s="1"/>
  <c r="F304" i="31"/>
  <c r="E304" i="31"/>
  <c r="G303" i="31"/>
  <c r="G302" i="31"/>
  <c r="G301" i="31"/>
  <c r="G300" i="31"/>
  <c r="G299" i="31"/>
  <c r="G298" i="31"/>
  <c r="G304" i="31" s="1"/>
  <c r="F296" i="31"/>
  <c r="E296" i="31"/>
  <c r="G295" i="31"/>
  <c r="G294" i="31"/>
  <c r="G293" i="31"/>
  <c r="G292" i="31"/>
  <c r="G291" i="31"/>
  <c r="G290" i="31"/>
  <c r="G289" i="31"/>
  <c r="G288" i="31"/>
  <c r="G287" i="31"/>
  <c r="G286" i="31"/>
  <c r="G285" i="31"/>
  <c r="G284" i="31"/>
  <c r="G283" i="31"/>
  <c r="G282" i="31"/>
  <c r="G281" i="31"/>
  <c r="G280" i="31"/>
  <c r="G279" i="31"/>
  <c r="G278" i="31"/>
  <c r="G277" i="31"/>
  <c r="G276" i="31"/>
  <c r="G275" i="31"/>
  <c r="G274" i="31"/>
  <c r="G273" i="31"/>
  <c r="G272" i="31"/>
  <c r="G271" i="31"/>
  <c r="G270" i="31"/>
  <c r="G269" i="31"/>
  <c r="G268" i="31"/>
  <c r="G267" i="31"/>
  <c r="G266" i="31"/>
  <c r="G265" i="31"/>
  <c r="G264" i="31"/>
  <c r="G263" i="31"/>
  <c r="G262" i="31"/>
  <c r="G261" i="31"/>
  <c r="G296" i="31" s="1"/>
  <c r="G260" i="31"/>
  <c r="G259" i="31"/>
  <c r="F257" i="31"/>
  <c r="E257" i="31"/>
  <c r="G256" i="31"/>
  <c r="G255" i="31"/>
  <c r="G254" i="31"/>
  <c r="G253" i="31"/>
  <c r="G252" i="31"/>
  <c r="G251" i="31"/>
  <c r="G250" i="31"/>
  <c r="G249" i="31"/>
  <c r="G248" i="31"/>
  <c r="G247" i="31"/>
  <c r="G246" i="31"/>
  <c r="G245" i="31"/>
  <c r="G244" i="31"/>
  <c r="G243" i="31"/>
  <c r="G242" i="31"/>
  <c r="G241" i="31"/>
  <c r="G240" i="31"/>
  <c r="G239" i="31"/>
  <c r="G238" i="31"/>
  <c r="G237" i="31"/>
  <c r="G236" i="31"/>
  <c r="G235" i="31"/>
  <c r="G234" i="31"/>
  <c r="G233" i="31"/>
  <c r="G232" i="31"/>
  <c r="G231" i="31"/>
  <c r="G230" i="31"/>
  <c r="G229" i="31"/>
  <c r="G228" i="31"/>
  <c r="G227" i="31"/>
  <c r="G226" i="31"/>
  <c r="G225" i="31"/>
  <c r="G224" i="31"/>
  <c r="G223" i="31"/>
  <c r="G222" i="31"/>
  <c r="G221" i="31"/>
  <c r="G220" i="31"/>
  <c r="G219" i="31"/>
  <c r="G218" i="31"/>
  <c r="G217" i="31"/>
  <c r="G216" i="31"/>
  <c r="G215" i="31"/>
  <c r="G214" i="31"/>
  <c r="G213" i="31"/>
  <c r="G212" i="31"/>
  <c r="G211" i="31"/>
  <c r="G210" i="31"/>
  <c r="G209" i="31"/>
  <c r="G208" i="31"/>
  <c r="G207" i="31"/>
  <c r="G206" i="31"/>
  <c r="G257" i="31" s="1"/>
  <c r="F204" i="31"/>
  <c r="E204" i="31"/>
  <c r="G203" i="31"/>
  <c r="G202" i="31"/>
  <c r="G201" i="31"/>
  <c r="G200" i="31"/>
  <c r="G199" i="31"/>
  <c r="G198" i="31"/>
  <c r="G197" i="31"/>
  <c r="G196" i="31"/>
  <c r="G195" i="31"/>
  <c r="G194" i="31"/>
  <c r="G193" i="31"/>
  <c r="G192" i="31"/>
  <c r="G191" i="31"/>
  <c r="G190" i="31"/>
  <c r="G189" i="31"/>
  <c r="G188" i="31"/>
  <c r="G204" i="31" s="1"/>
  <c r="F186" i="31"/>
  <c r="E186" i="31"/>
  <c r="G185" i="31"/>
  <c r="G184" i="31"/>
  <c r="G183" i="31"/>
  <c r="G182" i="31"/>
  <c r="G181" i="31"/>
  <c r="G180" i="31"/>
  <c r="G179" i="31"/>
  <c r="G178" i="31"/>
  <c r="G177" i="31"/>
  <c r="G176" i="31"/>
  <c r="G175" i="31"/>
  <c r="G174" i="31"/>
  <c r="G173" i="31"/>
  <c r="G172" i="31"/>
  <c r="G171" i="31"/>
  <c r="G170" i="31"/>
  <c r="G169" i="31"/>
  <c r="G168" i="31"/>
  <c r="G167" i="31"/>
  <c r="G166" i="31"/>
  <c r="G165" i="31"/>
  <c r="G164" i="31"/>
  <c r="G163" i="31"/>
  <c r="G162" i="31"/>
  <c r="G161" i="31"/>
  <c r="G160" i="31"/>
  <c r="G159" i="31"/>
  <c r="G158" i="31"/>
  <c r="G157" i="31"/>
  <c r="G156" i="31"/>
  <c r="G186" i="31" s="1"/>
  <c r="F154" i="31"/>
  <c r="E154" i="31"/>
  <c r="G153" i="31"/>
  <c r="G152" i="31"/>
  <c r="G151" i="31"/>
  <c r="G150" i="31"/>
  <c r="G149" i="31"/>
  <c r="G148" i="31"/>
  <c r="G147" i="31"/>
  <c r="G146" i="31"/>
  <c r="G145" i="31"/>
  <c r="G144" i="31"/>
  <c r="G143" i="31"/>
  <c r="G142" i="31"/>
  <c r="G141" i="31"/>
  <c r="G140" i="31"/>
  <c r="G139" i="31"/>
  <c r="G138" i="31"/>
  <c r="G137" i="31"/>
  <c r="G136" i="31"/>
  <c r="G135" i="31"/>
  <c r="G134" i="31"/>
  <c r="G133" i="31"/>
  <c r="G132" i="31"/>
  <c r="G131" i="31"/>
  <c r="G130" i="31"/>
  <c r="G129" i="31"/>
  <c r="G128" i="31"/>
  <c r="G154" i="31" s="1"/>
  <c r="F126" i="31"/>
  <c r="E126" i="31"/>
  <c r="G125" i="31"/>
  <c r="G124" i="31"/>
  <c r="G123" i="31"/>
  <c r="G122" i="31"/>
  <c r="G121" i="31"/>
  <c r="G120" i="31"/>
  <c r="G119" i="31"/>
  <c r="G118" i="31"/>
  <c r="G117" i="31"/>
  <c r="G116" i="31"/>
  <c r="G115" i="31"/>
  <c r="G114" i="31"/>
  <c r="G113" i="31"/>
  <c r="G112" i="31"/>
  <c r="G111" i="31"/>
  <c r="G110" i="31"/>
  <c r="G109" i="31"/>
  <c r="G108" i="31"/>
  <c r="G107" i="31"/>
  <c r="G106" i="31"/>
  <c r="G105" i="31"/>
  <c r="G104" i="31"/>
  <c r="G103" i="31"/>
  <c r="G102" i="31"/>
  <c r="G101" i="31"/>
  <c r="G100" i="31"/>
  <c r="G99" i="31"/>
  <c r="G98" i="31"/>
  <c r="G97" i="31"/>
  <c r="G96" i="31"/>
  <c r="G95" i="31"/>
  <c r="G126" i="31" s="1"/>
  <c r="F93" i="31"/>
  <c r="E93" i="31"/>
  <c r="G92" i="31"/>
  <c r="G91" i="31"/>
  <c r="G90" i="31"/>
  <c r="G89" i="31"/>
  <c r="G88" i="31"/>
  <c r="G93" i="31" s="1"/>
  <c r="F86" i="31"/>
  <c r="E86" i="31"/>
  <c r="G85" i="31"/>
  <c r="G84" i="31"/>
  <c r="G86" i="31" s="1"/>
  <c r="G83" i="31"/>
  <c r="F81" i="31"/>
  <c r="E81" i="31"/>
  <c r="G80" i="31"/>
  <c r="G79" i="31"/>
  <c r="G78" i="31"/>
  <c r="G77" i="31"/>
  <c r="G76" i="31"/>
  <c r="G75" i="31"/>
  <c r="G81" i="31" s="1"/>
  <c r="F73" i="31"/>
  <c r="F316" i="31" s="1"/>
  <c r="E73" i="31"/>
  <c r="E316" i="31" s="1"/>
  <c r="G72" i="31"/>
  <c r="G71" i="31"/>
  <c r="G70" i="31"/>
  <c r="G69" i="31"/>
  <c r="G68" i="31"/>
  <c r="G67" i="31"/>
  <c r="G66" i="31"/>
  <c r="G65" i="31"/>
  <c r="G64" i="31"/>
  <c r="G63" i="31"/>
  <c r="G62" i="31"/>
  <c r="G61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73" i="31" s="1"/>
  <c r="G316" i="31" s="1"/>
  <c r="Y13" i="4" l="1"/>
  <c r="Y14" i="4" s="1"/>
  <c r="Y12" i="4"/>
  <c r="Y11" i="4"/>
  <c r="W35" i="4"/>
  <c r="W34" i="4"/>
  <c r="W36" i="4"/>
  <c r="W37" i="4" s="1"/>
  <c r="W12" i="4"/>
  <c r="W13" i="4"/>
  <c r="W14" i="4" s="1"/>
  <c r="W11" i="4"/>
  <c r="R35" i="4"/>
  <c r="R34" i="4"/>
  <c r="R36" i="4"/>
  <c r="R37" i="4" s="1"/>
  <c r="R12" i="4"/>
  <c r="R11" i="4"/>
  <c r="R13" i="4"/>
  <c r="R14" i="4" s="1"/>
  <c r="N36" i="4"/>
  <c r="N37" i="4" s="1"/>
  <c r="N34" i="4"/>
  <c r="N35" i="4"/>
  <c r="N13" i="4"/>
  <c r="N14" i="4" s="1"/>
  <c r="N11" i="4"/>
  <c r="N12" i="4"/>
  <c r="L36" i="4"/>
  <c r="L37" i="4" s="1"/>
  <c r="L35" i="4"/>
  <c r="L34" i="4"/>
  <c r="L13" i="4"/>
  <c r="L14" i="4" s="1"/>
  <c r="L12" i="4"/>
  <c r="L11" i="4"/>
  <c r="J36" i="4"/>
  <c r="J37" i="4" s="1"/>
  <c r="J34" i="4"/>
  <c r="J35" i="4"/>
  <c r="J11" i="4"/>
  <c r="J13" i="4"/>
  <c r="J14" i="4" s="1"/>
  <c r="J12" i="4"/>
  <c r="H13" i="4"/>
  <c r="H14" i="4" s="1"/>
  <c r="H12" i="4"/>
  <c r="H11" i="4"/>
  <c r="F38" i="4"/>
  <c r="F39" i="4" s="1"/>
  <c r="V16" i="4"/>
  <c r="U32" i="4"/>
  <c r="Z32" i="4"/>
  <c r="X32" i="4"/>
  <c r="S32" i="4"/>
  <c r="Q32" i="4"/>
  <c r="O32" i="4"/>
  <c r="M32" i="4"/>
  <c r="K32" i="4"/>
  <c r="I32" i="4"/>
  <c r="G32" i="4"/>
  <c r="G35" i="4"/>
  <c r="G319" i="31"/>
  <c r="G320" i="31"/>
  <c r="G321" i="31" s="1"/>
  <c r="G318" i="31"/>
  <c r="G322" i="31" s="1"/>
  <c r="G323" i="31" s="1"/>
  <c r="E318" i="31"/>
  <c r="E319" i="31"/>
  <c r="E320" i="31"/>
  <c r="E321" i="31" s="1"/>
  <c r="F318" i="31"/>
  <c r="F319" i="31"/>
  <c r="F320" i="31"/>
  <c r="F321" i="31" s="1"/>
  <c r="I35" i="4" l="1"/>
  <c r="K35" i="4" s="1"/>
  <c r="M35" i="4" s="1"/>
  <c r="O35" i="4" s="1"/>
  <c r="Q35" i="4" s="1"/>
  <c r="S35" i="4" s="1"/>
  <c r="U35" i="4" s="1"/>
  <c r="X35" i="4" s="1"/>
  <c r="Z35" i="4" s="1"/>
  <c r="G37" i="4"/>
  <c r="G36" i="4"/>
  <c r="I34" i="4"/>
  <c r="K34" i="4" s="1"/>
  <c r="M34" i="4" s="1"/>
  <c r="F322" i="31"/>
  <c r="F323" i="31" s="1"/>
  <c r="E322" i="31"/>
  <c r="E323" i="31" s="1"/>
  <c r="G38" i="4" l="1"/>
  <c r="O34" i="4"/>
  <c r="I36" i="4"/>
  <c r="G39" i="4"/>
  <c r="E61" i="13"/>
  <c r="G61" i="13" s="1"/>
  <c r="E66" i="13"/>
  <c r="G66" i="13" s="1"/>
  <c r="E67" i="13"/>
  <c r="G67" i="13" s="1"/>
  <c r="E68" i="13"/>
  <c r="G68" i="13" s="1"/>
  <c r="E69" i="13"/>
  <c r="G69" i="13" s="1"/>
  <c r="E70" i="13"/>
  <c r="G70" i="13" s="1"/>
  <c r="E15" i="4"/>
  <c r="E9" i="4"/>
  <c r="J36" i="15"/>
  <c r="J37" i="15" s="1"/>
  <c r="H36" i="15"/>
  <c r="H37" i="15" s="1"/>
  <c r="F36" i="15"/>
  <c r="K36" i="15" s="1"/>
  <c r="K37" i="15" s="1"/>
  <c r="J33" i="15"/>
  <c r="J34" i="15" s="1"/>
  <c r="H33" i="15"/>
  <c r="H34" i="15" s="1"/>
  <c r="F33" i="15"/>
  <c r="K33" i="15" s="1"/>
  <c r="K34" i="15" s="1"/>
  <c r="J31" i="15"/>
  <c r="J30" i="15"/>
  <c r="H30" i="15"/>
  <c r="H31" i="15" s="1"/>
  <c r="F30" i="15"/>
  <c r="J29" i="15"/>
  <c r="H29" i="15"/>
  <c r="F29" i="15"/>
  <c r="J28" i="15"/>
  <c r="H28" i="15"/>
  <c r="F28" i="15"/>
  <c r="K28" i="15" s="1"/>
  <c r="J27" i="15"/>
  <c r="H27" i="15"/>
  <c r="F27" i="15"/>
  <c r="K27" i="15" s="1"/>
  <c r="J24" i="15"/>
  <c r="H24" i="15"/>
  <c r="F24" i="15"/>
  <c r="K24" i="15" s="1"/>
  <c r="J23" i="15"/>
  <c r="J25" i="15" s="1"/>
  <c r="H23" i="15"/>
  <c r="H25" i="15" s="1"/>
  <c r="F23" i="15"/>
  <c r="F25" i="15" s="1"/>
  <c r="J20" i="15"/>
  <c r="H20" i="15"/>
  <c r="F20" i="15"/>
  <c r="F21" i="15" s="1"/>
  <c r="J19" i="15"/>
  <c r="H19" i="15"/>
  <c r="F19" i="15"/>
  <c r="J18" i="15"/>
  <c r="J21" i="15" s="1"/>
  <c r="H18" i="15"/>
  <c r="H21" i="15" s="1"/>
  <c r="F18" i="15"/>
  <c r="J15" i="15"/>
  <c r="H15" i="15"/>
  <c r="F15" i="15"/>
  <c r="K15" i="15" s="1"/>
  <c r="J14" i="15"/>
  <c r="J16" i="15" s="1"/>
  <c r="H14" i="15"/>
  <c r="F14" i="15"/>
  <c r="K14" i="15" s="1"/>
  <c r="K16" i="15" s="1"/>
  <c r="J13" i="15"/>
  <c r="H13" i="15"/>
  <c r="H16" i="15" s="1"/>
  <c r="F13" i="15"/>
  <c r="K11" i="15"/>
  <c r="J10" i="15"/>
  <c r="H10" i="15"/>
  <c r="F10" i="15"/>
  <c r="J9" i="15"/>
  <c r="H9" i="15"/>
  <c r="F9" i="15"/>
  <c r="J8" i="15"/>
  <c r="H8" i="15"/>
  <c r="F8" i="15"/>
  <c r="J7" i="15"/>
  <c r="J11" i="15" s="1"/>
  <c r="H7" i="15"/>
  <c r="H11" i="15" s="1"/>
  <c r="H38" i="15" s="1"/>
  <c r="F7" i="15"/>
  <c r="F11" i="15" s="1"/>
  <c r="K36" i="4" l="1"/>
  <c r="Q34" i="4"/>
  <c r="Z9" i="4"/>
  <c r="S9" i="4"/>
  <c r="O9" i="4"/>
  <c r="U9" i="4"/>
  <c r="M9" i="4"/>
  <c r="X9" i="4"/>
  <c r="K9" i="4"/>
  <c r="Q9" i="4"/>
  <c r="I37" i="4"/>
  <c r="H38" i="4"/>
  <c r="E16" i="4"/>
  <c r="I9" i="4"/>
  <c r="G9" i="4"/>
  <c r="H45" i="15"/>
  <c r="H42" i="15"/>
  <c r="H43" i="15" s="1"/>
  <c r="H41" i="15"/>
  <c r="H40" i="15"/>
  <c r="H44" i="15" s="1"/>
  <c r="J38" i="15"/>
  <c r="K31" i="15"/>
  <c r="F16" i="15"/>
  <c r="F38" i="15" s="1"/>
  <c r="F31" i="15"/>
  <c r="F34" i="15"/>
  <c r="F37" i="15"/>
  <c r="K20" i="15"/>
  <c r="K21" i="15" s="1"/>
  <c r="K38" i="15" s="1"/>
  <c r="K23" i="15"/>
  <c r="K25" i="15" s="1"/>
  <c r="K37" i="4" l="1"/>
  <c r="M37" i="4" s="1"/>
  <c r="J38" i="4"/>
  <c r="M36" i="4"/>
  <c r="S34" i="4"/>
  <c r="I38" i="4"/>
  <c r="H39" i="4"/>
  <c r="I39" i="4" s="1"/>
  <c r="F42" i="15"/>
  <c r="F43" i="15" s="1"/>
  <c r="F41" i="15"/>
  <c r="F40" i="15"/>
  <c r="F44" i="15" s="1"/>
  <c r="F45" i="15" s="1"/>
  <c r="K42" i="15"/>
  <c r="K43" i="15" s="1"/>
  <c r="K41" i="15"/>
  <c r="K40" i="15"/>
  <c r="K44" i="15" s="1"/>
  <c r="K45" i="15" s="1"/>
  <c r="J42" i="15"/>
  <c r="J43" i="15" s="1"/>
  <c r="J41" i="15"/>
  <c r="J40" i="15"/>
  <c r="U34" i="4" l="1"/>
  <c r="J39" i="4"/>
  <c r="K39" i="4" s="1"/>
  <c r="K38" i="4"/>
  <c r="O36" i="4"/>
  <c r="O37" i="4"/>
  <c r="L38" i="4"/>
  <c r="J44" i="15"/>
  <c r="J45" i="15" s="1"/>
  <c r="N38" i="4" l="1"/>
  <c r="O38" i="4" s="1"/>
  <c r="L39" i="4"/>
  <c r="M39" i="4" s="1"/>
  <c r="M38" i="4"/>
  <c r="Q36" i="4"/>
  <c r="Q37" i="4"/>
  <c r="X34" i="4"/>
  <c r="N39" i="4" l="1"/>
  <c r="O39" i="4" s="1"/>
  <c r="P38" i="4"/>
  <c r="Q38" i="4" s="1"/>
  <c r="Z34" i="4"/>
  <c r="S37" i="4"/>
  <c r="S36" i="4"/>
  <c r="P39" i="4" l="1"/>
  <c r="Q39" i="4" s="1"/>
  <c r="R38" i="4"/>
  <c r="U36" i="4"/>
  <c r="U37" i="4"/>
  <c r="T38" i="4" l="1"/>
  <c r="U38" i="4" s="1"/>
  <c r="X36" i="4"/>
  <c r="X37" i="4"/>
  <c r="S38" i="4"/>
  <c r="R39" i="4"/>
  <c r="S39" i="4" s="1"/>
  <c r="G12" i="4"/>
  <c r="I12" i="4" s="1"/>
  <c r="K12" i="4" s="1"/>
  <c r="M12" i="4" l="1"/>
  <c r="O12" i="4" s="1"/>
  <c r="Q12" i="4" s="1"/>
  <c r="S12" i="4" s="1"/>
  <c r="U12" i="4" s="1"/>
  <c r="X12" i="4" s="1"/>
  <c r="Z12" i="4" s="1"/>
  <c r="T39" i="4"/>
  <c r="U39" i="4" s="1"/>
  <c r="Z36" i="4"/>
  <c r="Z37" i="4"/>
  <c r="W38" i="4"/>
  <c r="E40" i="13"/>
  <c r="G40" i="13" s="1"/>
  <c r="E41" i="13"/>
  <c r="G41" i="13" s="1"/>
  <c r="E42" i="13"/>
  <c r="G42" i="13" s="1"/>
  <c r="E43" i="13"/>
  <c r="G43" i="13" s="1"/>
  <c r="E45" i="13"/>
  <c r="G45" i="13" s="1"/>
  <c r="E51" i="13"/>
  <c r="G51" i="13" s="1"/>
  <c r="E52" i="13"/>
  <c r="G52" i="13" s="1"/>
  <c r="E53" i="13"/>
  <c r="G53" i="13" s="1"/>
  <c r="E54" i="13"/>
  <c r="G54" i="13" s="1"/>
  <c r="E55" i="13"/>
  <c r="G55" i="13" s="1"/>
  <c r="E56" i="13"/>
  <c r="G56" i="13" s="1"/>
  <c r="E57" i="13"/>
  <c r="G57" i="13" s="1"/>
  <c r="Z38" i="4" l="1"/>
  <c r="W39" i="4"/>
  <c r="X39" i="4" s="1"/>
  <c r="X38" i="4"/>
  <c r="G11" i="4"/>
  <c r="G14" i="4"/>
  <c r="G13" i="4"/>
  <c r="E4" i="13"/>
  <c r="G4" i="13" s="1"/>
  <c r="E26" i="13"/>
  <c r="G26" i="13" s="1"/>
  <c r="E36" i="13"/>
  <c r="G36" i="13" s="1"/>
  <c r="E31" i="13"/>
  <c r="G31" i="13" s="1"/>
  <c r="E7" i="13"/>
  <c r="G7" i="13" s="1"/>
  <c r="E34" i="13"/>
  <c r="G34" i="13" s="1"/>
  <c r="E37" i="13"/>
  <c r="G37" i="13" s="1"/>
  <c r="E9" i="13"/>
  <c r="G9" i="13" s="1"/>
  <c r="E18" i="13"/>
  <c r="G18" i="13" s="1"/>
  <c r="E5" i="13"/>
  <c r="G5" i="13" s="1"/>
  <c r="E13" i="13"/>
  <c r="G13" i="13" s="1"/>
  <c r="E24" i="13"/>
  <c r="G24" i="13" s="1"/>
  <c r="E6" i="13"/>
  <c r="G6" i="13" s="1"/>
  <c r="E21" i="13"/>
  <c r="G21" i="13" s="1"/>
  <c r="E16" i="13"/>
  <c r="G16" i="13" s="1"/>
  <c r="E33" i="13"/>
  <c r="G33" i="13" s="1"/>
  <c r="E38" i="13"/>
  <c r="G38" i="13" s="1"/>
  <c r="G1" i="13" l="1"/>
  <c r="Z39" i="4"/>
  <c r="F15" i="4"/>
  <c r="I11" i="4"/>
  <c r="I14" i="4"/>
  <c r="I13" i="4"/>
  <c r="H5" i="13" l="1"/>
  <c r="H4" i="13"/>
  <c r="I3" i="13"/>
  <c r="J3" i="13" s="1"/>
  <c r="I16" i="13"/>
  <c r="J16" i="13" s="1"/>
  <c r="I52" i="13"/>
  <c r="J52" i="13" s="1"/>
  <c r="I4" i="13"/>
  <c r="J4" i="13" s="1"/>
  <c r="I9" i="13"/>
  <c r="J9" i="13" s="1"/>
  <c r="I13" i="13"/>
  <c r="J13" i="13" s="1"/>
  <c r="I19" i="13"/>
  <c r="J19" i="13" s="1"/>
  <c r="I24" i="13"/>
  <c r="J24" i="13" s="1"/>
  <c r="I28" i="13"/>
  <c r="J28" i="13" s="1"/>
  <c r="I34" i="13"/>
  <c r="J34" i="13" s="1"/>
  <c r="I38" i="13"/>
  <c r="J38" i="13" s="1"/>
  <c r="I42" i="13"/>
  <c r="J42" i="13" s="1"/>
  <c r="I46" i="13"/>
  <c r="J46" i="13" s="1"/>
  <c r="I50" i="13"/>
  <c r="J50" i="13" s="1"/>
  <c r="I55" i="13"/>
  <c r="J55" i="13" s="1"/>
  <c r="I59" i="13"/>
  <c r="J59" i="13" s="1"/>
  <c r="I63" i="13"/>
  <c r="J63" i="13" s="1"/>
  <c r="I68" i="13"/>
  <c r="J68" i="13" s="1"/>
  <c r="I12" i="13"/>
  <c r="J12" i="13" s="1"/>
  <c r="I23" i="13"/>
  <c r="J23" i="13" s="1"/>
  <c r="I33" i="13"/>
  <c r="J33" i="13" s="1"/>
  <c r="I41" i="13"/>
  <c r="J41" i="13" s="1"/>
  <c r="I49" i="13"/>
  <c r="J49" i="13" s="1"/>
  <c r="I58" i="13"/>
  <c r="J58" i="13" s="1"/>
  <c r="I67" i="13"/>
  <c r="J67" i="13" s="1"/>
  <c r="I5" i="13"/>
  <c r="J5" i="13" s="1"/>
  <c r="I10" i="13"/>
  <c r="J10" i="13" s="1"/>
  <c r="I14" i="13"/>
  <c r="J14" i="13" s="1"/>
  <c r="I20" i="13"/>
  <c r="J20" i="13" s="1"/>
  <c r="I25" i="13"/>
  <c r="J25" i="13" s="1"/>
  <c r="I29" i="13"/>
  <c r="J29" i="13" s="1"/>
  <c r="I35" i="13"/>
  <c r="J35" i="13" s="1"/>
  <c r="I39" i="13"/>
  <c r="J39" i="13" s="1"/>
  <c r="I43" i="13"/>
  <c r="J43" i="13" s="1"/>
  <c r="I47" i="13"/>
  <c r="J47" i="13" s="1"/>
  <c r="I51" i="13"/>
  <c r="J51" i="13" s="1"/>
  <c r="I56" i="13"/>
  <c r="J56" i="13" s="1"/>
  <c r="I60" i="13"/>
  <c r="J60" i="13" s="1"/>
  <c r="I64" i="13"/>
  <c r="J64" i="13" s="1"/>
  <c r="I69" i="13"/>
  <c r="J69" i="13" s="1"/>
  <c r="I7" i="13"/>
  <c r="J7" i="13" s="1"/>
  <c r="I17" i="13"/>
  <c r="J17" i="13" s="1"/>
  <c r="I27" i="13"/>
  <c r="J27" i="13" s="1"/>
  <c r="I37" i="13"/>
  <c r="J37" i="13" s="1"/>
  <c r="I45" i="13"/>
  <c r="J45" i="13" s="1"/>
  <c r="I54" i="13"/>
  <c r="J54" i="13" s="1"/>
  <c r="I62" i="13"/>
  <c r="J62" i="13" s="1"/>
  <c r="I71" i="13"/>
  <c r="J71" i="13" s="1"/>
  <c r="I6" i="13"/>
  <c r="J6" i="13" s="1"/>
  <c r="I11" i="13"/>
  <c r="J11" i="13" s="1"/>
  <c r="I15" i="13"/>
  <c r="J15" i="13" s="1"/>
  <c r="I21" i="13"/>
  <c r="J21" i="13" s="1"/>
  <c r="I26" i="13"/>
  <c r="J26" i="13" s="1"/>
  <c r="I31" i="13"/>
  <c r="J31" i="13" s="1"/>
  <c r="I36" i="13"/>
  <c r="J36" i="13" s="1"/>
  <c r="I40" i="13"/>
  <c r="J40" i="13" s="1"/>
  <c r="I44" i="13"/>
  <c r="J44" i="13" s="1"/>
  <c r="I48" i="13"/>
  <c r="J48" i="13" s="1"/>
  <c r="I53" i="13"/>
  <c r="J53" i="13" s="1"/>
  <c r="I57" i="13"/>
  <c r="J57" i="13" s="1"/>
  <c r="I61" i="13"/>
  <c r="J61" i="13" s="1"/>
  <c r="I66" i="13"/>
  <c r="J66" i="13" s="1"/>
  <c r="I70" i="13"/>
  <c r="J70" i="13" s="1"/>
  <c r="K14" i="4"/>
  <c r="K13" i="4"/>
  <c r="K11" i="4"/>
  <c r="H15" i="4"/>
  <c r="G15" i="4"/>
  <c r="F16" i="4"/>
  <c r="G16" i="4" s="1"/>
  <c r="M14" i="4" l="1"/>
  <c r="J15" i="4"/>
  <c r="J16" i="4" s="1"/>
  <c r="K16" i="4" s="1"/>
  <c r="M11" i="4"/>
  <c r="M13" i="4"/>
  <c r="H16" i="4"/>
  <c r="I16" i="4" s="1"/>
  <c r="I15" i="4"/>
  <c r="K15" i="4" l="1"/>
  <c r="L15" i="4"/>
  <c r="M15" i="4" s="1"/>
  <c r="O11" i="4"/>
  <c r="O14" i="4"/>
  <c r="O13" i="4"/>
  <c r="L16" i="4" l="1"/>
  <c r="M16" i="4" s="1"/>
  <c r="N15" i="4"/>
  <c r="N16" i="4" s="1"/>
  <c r="O16" i="4" s="1"/>
  <c r="Q11" i="4"/>
  <c r="Q13" i="4"/>
  <c r="Q14" i="4"/>
  <c r="O15" i="4" l="1"/>
  <c r="P15" i="4"/>
  <c r="P16" i="4" s="1"/>
  <c r="Q16" i="4" s="1"/>
  <c r="S11" i="4"/>
  <c r="S13" i="4"/>
  <c r="S14" i="4"/>
  <c r="Q15" i="4" l="1"/>
  <c r="U11" i="4"/>
  <c r="U14" i="4"/>
  <c r="U13" i="4"/>
  <c r="R15" i="4"/>
  <c r="X14" i="4" l="1"/>
  <c r="X13" i="4"/>
  <c r="X11" i="4"/>
  <c r="R16" i="4"/>
  <c r="S16" i="4" s="1"/>
  <c r="S15" i="4"/>
  <c r="T15" i="4"/>
  <c r="W15" i="4" l="1"/>
  <c r="W16" i="4" s="1"/>
  <c r="X16" i="4" s="1"/>
  <c r="Z11" i="4"/>
  <c r="T16" i="4"/>
  <c r="U16" i="4" s="1"/>
  <c r="U15" i="4"/>
  <c r="Z14" i="4"/>
  <c r="Z13" i="4"/>
  <c r="X15" i="4" l="1"/>
  <c r="Y15" i="4"/>
  <c r="Y16" i="4" l="1"/>
  <c r="Z16" i="4" s="1"/>
  <c r="Z15" i="4"/>
</calcChain>
</file>

<file path=xl/sharedStrings.xml><?xml version="1.0" encoding="utf-8"?>
<sst xmlns="http://schemas.openxmlformats.org/spreadsheetml/2006/main" count="2395" uniqueCount="580">
  <si>
    <t>ÍTEM</t>
  </si>
  <si>
    <t>DESCRIPCIÓN</t>
  </si>
  <si>
    <t>UND</t>
  </si>
  <si>
    <t>M2</t>
  </si>
  <si>
    <t>UN</t>
  </si>
  <si>
    <t>ML</t>
  </si>
  <si>
    <t>GL</t>
  </si>
  <si>
    <t xml:space="preserve">I.   PRELIMINARES </t>
  </si>
  <si>
    <t xml:space="preserve">Desmonte de ducto de ventilación </t>
  </si>
  <si>
    <t xml:space="preserve">Desmonte de sistema de blancos </t>
  </si>
  <si>
    <t>Suministro e instalación de  estructura de blancos</t>
  </si>
  <si>
    <t xml:space="preserve">Demolición de cuneta perimetral </t>
  </si>
  <si>
    <t xml:space="preserve">Desmonte de teja española </t>
  </si>
  <si>
    <t xml:space="preserve">Demolición de adoquines 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</si>
  <si>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</si>
  <si>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M2 </t>
  </si>
  <si>
    <t>Suministro e instalación de teja colonial, incluye todo el material para su correcto funcionamiento e instalación.</t>
  </si>
  <si>
    <t xml:space="preserve">ML 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</si>
  <si>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</si>
  <si>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 xml:space="preserve">Suministro e instalación de malla eslabonada  compuesta por tejido de alambre galvanizado, postes in termedios galvanizados de 2m de altura, empotrados en dados de concreto. </t>
  </si>
  <si>
    <t xml:space="preserve">Raspado de pintura, estuco y pañete de ser necesario en sitios afectados por humedad, en muros internos, externos y techos del predio, incluye todo el material y elementos necesarios para su correcto funcionamiento y aplicación. </t>
  </si>
  <si>
    <t xml:space="preserve">Suministro y aplicación de impermeabilizante en muro interior mediante revestimiento elástico a base de polímeros e imprimación a base de resinas acrílicas incluye limpieza de muro y todos los elementos /materiales necesarios para su correcto funcionamiento y aplicación </t>
  </si>
  <si>
    <t xml:space="preserve">Desmonte de tubería en hierro, HF, galvanizada, pvc y/o cobre incluye retiro de sobrantes </t>
  </si>
  <si>
    <t>Desmonte de luminarias</t>
  </si>
  <si>
    <t>Suministro e instalación de placas de caucho</t>
  </si>
  <si>
    <t xml:space="preserve">Pintura bajo placa </t>
  </si>
  <si>
    <t>Demolición de guardaescobas existente</t>
  </si>
  <si>
    <t>Desmonte de cabinas  en madera</t>
  </si>
  <si>
    <t>Alistado y afinado de piso en mortero 1:3</t>
  </si>
  <si>
    <t>Suministro e instalación de placas en caucho negro de 45x 45 cm, e=1cm</t>
  </si>
  <si>
    <t>Suministro e instalación de cerámica de calidad superior, para piso 60X60 cm.</t>
  </si>
  <si>
    <t xml:space="preserve">PISOS </t>
  </si>
  <si>
    <t>Suministro e instalación de cabinas de tiro en acero inoxidable 306 cal.20, con adecuación para acceso de camilla de emergencia</t>
  </si>
  <si>
    <t>Suministro e instalación de bandejas en acero inoxidable 306 Cal. 20,  para apoyar el arma.</t>
  </si>
  <si>
    <t>Pintura interior sobre muros, incluye resanes, filos y dilataciones. Vinilo tipo 1, dos (2) manos</t>
  </si>
  <si>
    <t>Pintura de esmalte en puertas y marcos  existentes (dos manos)</t>
  </si>
  <si>
    <t xml:space="preserve">Suministro e instalación de cielo raso en dry-wall o  PVC plano </t>
  </si>
  <si>
    <t>Suministro e instalación de tomacorriente doble con polo a tierra, cableado en alambre de cobre THWN #12 AWG, tubo EMT de ø1/2", tornillos, regatas y resanes.</t>
  </si>
  <si>
    <t>Desmonte de cobertura con tejas en Barro.</t>
  </si>
  <si>
    <t xml:space="preserve">Desmonte de teja eternit con Fibrocemento </t>
  </si>
  <si>
    <t>Desmonte y retiro de cerramiento en malla eslabonada y tubos intermedios en acero.</t>
  </si>
  <si>
    <t>Demolición de cielo raso en láminas o listones de madera, perfiles y demás accesorios que lo constituyen.</t>
  </si>
  <si>
    <t>Pintura sobre muros tipo koraza, incluye resanes, filos y dilataciones. Vinilo tipo 1, dos (2) manos</t>
  </si>
  <si>
    <t>Limpieza y Pintura en ángulos y tubos con esmalte y anticorrosivo.(dos manos).</t>
  </si>
  <si>
    <t>CUBIERTA</t>
  </si>
  <si>
    <t>Suministro e instalación de tejas en barro</t>
  </si>
  <si>
    <t>Limpieza y Pintura en malla eslabonada, ángulos y tubos con esmalte y anticorrosivo.(dos manos).</t>
  </si>
  <si>
    <t>Suministro e instalación de cielo raso en láminas y tiras de maderas.</t>
  </si>
  <si>
    <t>Mantenimiento y limpieza de cárcamos perimetrales.</t>
  </si>
  <si>
    <t>Mantenimiento y limpieza de canales perimetrales</t>
  </si>
  <si>
    <t>Limpieza de filtros con ácido muriático con una concentración no mayor al 30%</t>
  </si>
  <si>
    <t>Suministro e instalación de canales perimetrales</t>
  </si>
  <si>
    <t>Suministro e instalación de señalización para áreas y evacuación en PVC foto luminiscente de 224x224 mm. Incluye elementos de fijación.</t>
  </si>
  <si>
    <t xml:space="preserve">Suministro e instalación de ventaneria en aluminio para exteriores , incluye todo para su correcto funcionamiento </t>
  </si>
  <si>
    <t xml:space="preserve">Suministro e instalación de relleno en 1:4 </t>
  </si>
  <si>
    <t>Elaboración de muro  en bloque No. 4</t>
  </si>
  <si>
    <t xml:space="preserve">Pañete 1:4 , incluye filos y dilataciones lineales </t>
  </si>
  <si>
    <t>Suministro e instalación de Yee Sanitaria PVC 4"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</si>
  <si>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</si>
  <si>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</si>
  <si>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</si>
  <si>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</si>
  <si>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</si>
  <si>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 xml:space="preserve">Suministro e instalación de rejas en sala de paso varilla de 1" y platina de 1. 1/2" </t>
  </si>
  <si>
    <t xml:space="preserve">Suministro e instalación de puerta tipo corredera  de 1.30 m ancho x 2.15 m de altura, incluye todo el material y elementos para su correcto funcionamiento </t>
  </si>
  <si>
    <t xml:space="preserve">Demolición de piso existente. </t>
  </si>
  <si>
    <t>Demolición de muros en drywall</t>
  </si>
  <si>
    <t xml:space="preserve">Demolición de placa en concreto </t>
  </si>
  <si>
    <t xml:space="preserve">Demolición de ventana existentes </t>
  </si>
  <si>
    <t xml:space="preserve">Desmonte de marcos y puertas </t>
  </si>
  <si>
    <t>Regata instalación sanitaria</t>
  </si>
  <si>
    <t>Sellamiento punto sanitario</t>
  </si>
  <si>
    <t>un</t>
  </si>
  <si>
    <t>Desmonte de baranda en acero</t>
  </si>
  <si>
    <t>Desmonte de puesto de trabajo</t>
  </si>
  <si>
    <t xml:space="preserve">Desmonte de divisiones de oficina abierta </t>
  </si>
  <si>
    <t>Desmonte de unidades de archivo rodante</t>
  </si>
  <si>
    <t>Montaje de unidades de archivo rodante</t>
  </si>
  <si>
    <t>Desmonte de Sanitario</t>
  </si>
  <si>
    <t>Desmonte de lavamanos</t>
  </si>
  <si>
    <t>Desmonte de orinal</t>
  </si>
  <si>
    <t>Desmonte de divisiones de baño</t>
  </si>
  <si>
    <t>Desmonte de parlantes</t>
  </si>
  <si>
    <t>Desmonte de detectores de humo</t>
  </si>
  <si>
    <t>Desmonte de salidas de voz y datos</t>
  </si>
  <si>
    <t>Desmonte de salidas normales y reguladas</t>
  </si>
  <si>
    <t>Desmonte de ventaneria en aluminio</t>
  </si>
  <si>
    <t>Desmonte de puertas en vidrio y fijos en vidrio templado</t>
  </si>
  <si>
    <t>Desmonte de secador de manos</t>
  </si>
  <si>
    <t>Retiro de tapete existente</t>
  </si>
  <si>
    <t>Desmonte de bandeja portacable</t>
  </si>
  <si>
    <t xml:space="preserve">Dintel en drywall reforzado con madera </t>
  </si>
  <si>
    <t>Dintel en concreto</t>
  </si>
  <si>
    <t xml:space="preserve">Elaboración de muro en ladrillo tolete </t>
  </si>
  <si>
    <t xml:space="preserve">Pañete 1:3 , incluye filos y dilataciones lineales </t>
  </si>
  <si>
    <t>Suministro e instalación de bisagra hidraulica</t>
  </si>
  <si>
    <t>Suministro e instalacion de pelicula samblasting</t>
  </si>
  <si>
    <t>Mueble alto en madera y formica</t>
  </si>
  <si>
    <t>Mueble bajo en madera y formica</t>
  </si>
  <si>
    <t xml:space="preserve">Suministro e instalación de divisiones para baño en acero inoxidable </t>
  </si>
  <si>
    <t>Resane de piso con granito pulido similar el existente</t>
  </si>
  <si>
    <t>Pulida de piso en granito</t>
  </si>
  <si>
    <t>Cinta antideslizante y reflectiva</t>
  </si>
  <si>
    <t>Media Caña en granito pulido 0.30 m batería sanitaría bunker (incluye wing en bronce)</t>
  </si>
  <si>
    <t>Suministro e Instalación Piso Laminado revestido en PVC.</t>
  </si>
  <si>
    <t>Pintura anti humedad</t>
  </si>
  <si>
    <t xml:space="preserve">Pintura epoxica </t>
  </si>
  <si>
    <t>Suministro e instalación cortinas enrollables tipo solar screen 10%</t>
  </si>
  <si>
    <t>Papel tapiz texturizado para pared.</t>
  </si>
  <si>
    <t>Suministro e Instalación Cielo Raso en PVC, semi mate</t>
  </si>
  <si>
    <t xml:space="preserve">Suministro e Instalación Media Caña Plástica para remates Cielo Raso en PVC </t>
  </si>
  <si>
    <t>Pintura de Guardaescobas en aceite</t>
  </si>
  <si>
    <t>Interconexión entre la puesta a tierra y el Tablero General de Distribución en cable de CU desnudo #2/0 AWG. Todas las uniones deben hacerse mediante soldadura exotérmica Termoweld x 115 gr.</t>
  </si>
  <si>
    <t>Registro de 1"</t>
  </si>
  <si>
    <t>Reventilacion PVC 3"</t>
  </si>
  <si>
    <t xml:space="preserve">VIDRIO </t>
  </si>
  <si>
    <t>Suministro e instalacion de puertas en vidrio templado de 10 mm, incluye samblasting, herrajes y todo lo necesario para su correcto funcionamiento</t>
  </si>
  <si>
    <t>Suministro e instalación de espejos para baños de 6 mm flotado</t>
  </si>
  <si>
    <t>Suministro e Instalacion de Puertas en Vidrio Templado de 8mm , incluye samblasting , herrajes y todo lo necesario para su correcto funcionamineto.</t>
  </si>
  <si>
    <t xml:space="preserve">CONCRETO </t>
  </si>
  <si>
    <t xml:space="preserve">Elaboración de viga en concreto armado </t>
  </si>
  <si>
    <t>M3</t>
  </si>
  <si>
    <t xml:space="preserve">Elaboración de Columna en concreto armado </t>
  </si>
  <si>
    <t xml:space="preserve">Excavación manual, incluye retiro de escombros y retiro de la zona de trabajo </t>
  </si>
  <si>
    <t xml:space="preserve">Suministro e instalación de mesón en acero inoxidable con dimensiones de 60cmx50cm para lavaplatos, incluye grifería Mono control, todos los materiales y elementos necesarios para su correcta instalación y funcionamiento </t>
  </si>
  <si>
    <t xml:space="preserve">Suministro e instalación de duchas a muro, incluye grifería Mono control, todos los materiales y elementos necesarios para su correcta instalación y funcionamiento </t>
  </si>
  <si>
    <t xml:space="preserve">	Aseo y desinfección de muros con revestimiento, usando máquina de presión y ácido muriático en una concentración no mayor al 30%, imprimación y sellado de
gritas   y   juntas   usando   selladores   de   poliuretano e impermeabilizantes como sikaflex 1-A plus o productos similares.	</t>
  </si>
  <si>
    <t>1.</t>
  </si>
  <si>
    <t>TOTAL COSTOS DIRECTOS</t>
  </si>
  <si>
    <t>TOTAL COSTOS INDIRECTOS</t>
  </si>
  <si>
    <t>TOTAL COSTOS DIRECTOS E INDIRECTOS</t>
  </si>
  <si>
    <t xml:space="preserve">Divisiones en láminas de superboard de 17mm, incluye viguetas, omegas, parales, dilataciones, tornillería y acabados en pintura blanca tipo 2 dos manos y tipo 1 una mano.           </t>
  </si>
  <si>
    <t>IMPREVISTOS</t>
  </si>
  <si>
    <t>UTILIDAD</t>
  </si>
  <si>
    <t>ADMINISTRACIÓN</t>
  </si>
  <si>
    <t>IVA SOBRE UTILIDAD</t>
  </si>
  <si>
    <t>COSTOS INDIRECTOS AIU PROPUESTO FGN</t>
  </si>
  <si>
    <t>VR: MAXIMO</t>
  </si>
  <si>
    <t>CANT</t>
  </si>
  <si>
    <t xml:space="preserve">No. </t>
  </si>
  <si>
    <t>Proponente</t>
  </si>
  <si>
    <t>Observaciones</t>
  </si>
  <si>
    <t>Total Oferta</t>
  </si>
  <si>
    <t>Puntaje
Costos directos</t>
  </si>
  <si>
    <t>Vr. Oferta Costos directos sin decimales</t>
  </si>
  <si>
    <t xml:space="preserve">PRELIMINARES </t>
  </si>
  <si>
    <t>Demolición de cielorraso en icopor</t>
  </si>
  <si>
    <t xml:space="preserve">Desmonte de estantería metálica </t>
  </si>
  <si>
    <t xml:space="preserve">Desmonte de cubierta en domo acrílico </t>
  </si>
  <si>
    <t xml:space="preserve">Demolición de mampostería </t>
  </si>
  <si>
    <t xml:space="preserve">Demolición de Pañetes </t>
  </si>
  <si>
    <t xml:space="preserve">Demolición de poyo </t>
  </si>
  <si>
    <t>Regata tubería eléctrica piso</t>
  </si>
  <si>
    <t>Sellamiento punto hidráulico</t>
  </si>
  <si>
    <t>Demolición de mesón</t>
  </si>
  <si>
    <t>Desmonte de piso vinílico</t>
  </si>
  <si>
    <t>Desmonte de salida eléctrica de alumbrado</t>
  </si>
  <si>
    <t>Retiro de cableado UTP y eléctrico</t>
  </si>
  <si>
    <t>Desmonte e instalación de persianas</t>
  </si>
  <si>
    <t>Desmonte de canaleta metálica</t>
  </si>
  <si>
    <t>Retiro de Tablero Eléctrico parcial de Distribución con espacio para totalizador</t>
  </si>
  <si>
    <t xml:space="preserve">Demolición de dinteles en mampostería reforzada </t>
  </si>
  <si>
    <t xml:space="preserve">Demolición de enchape de pared, incluye retiro de escombros de proyecto </t>
  </si>
  <si>
    <t>SUBTOTAL  1. PRELIMINARES</t>
  </si>
  <si>
    <t>SUBTOTAL  2. CONCRETO</t>
  </si>
  <si>
    <t>MAMPOSTERÍA</t>
  </si>
  <si>
    <t>Elaboración de muro  en bloque No. 5</t>
  </si>
  <si>
    <t>SUBTOTAL  3. MAMPOSTERÍA</t>
  </si>
  <si>
    <t xml:space="preserve">PAÑETES Y ESTUCO </t>
  </si>
  <si>
    <t>SUBTOTAL 4. PAÑETES Y ESTUCO</t>
  </si>
  <si>
    <t>Suministro e instalación de guardaescoba en cerámica de calidad superior o similar al piso instalado de 10 cms de alto</t>
  </si>
  <si>
    <t>Cerámica muro de 30 x 60 cm, rectificado</t>
  </si>
  <si>
    <t>Cerámica piso de 50 X 50 cm</t>
  </si>
  <si>
    <t>Guardaescoba en cerámica de .08 m</t>
  </si>
  <si>
    <t>Suministro e instalación de piso vinílico de trafico alto</t>
  </si>
  <si>
    <t>Suministro e instalación de guardaescoba en vinilo</t>
  </si>
  <si>
    <t>Afinado y nivelación de piso para preparar superficie para el piso vinílico (mastico)</t>
  </si>
  <si>
    <t>Suministro e instalación de guardaescoba en porcelanato similar al piso instalado de 10 cms de alto</t>
  </si>
  <si>
    <t>Suministro e instalación de porcelanato de 60*60 tipo alfa o similar trafico alto</t>
  </si>
  <si>
    <t xml:space="preserve">Suministro e instalación de alfombra de trafico alto modular </t>
  </si>
  <si>
    <t>Suministro e instalación de cerámica de piso para baño tipo pizarra negra o similar</t>
  </si>
  <si>
    <t>Suministro e instalación de guardaescoba en granito natural de h:10 cms</t>
  </si>
  <si>
    <t>Suministro e instalación de piso en granito natural</t>
  </si>
  <si>
    <t>Suministro e instalación de piso tipo deck, trafico alto, incluye estructura</t>
  </si>
  <si>
    <t>Suministro e instalación de guardaescoba en madera forrado en melaminico</t>
  </si>
  <si>
    <t>SUBTOTAL 5. PISOS</t>
  </si>
  <si>
    <t xml:space="preserve">CARPINTERÍA METÁLICA Y MADERA </t>
  </si>
  <si>
    <t xml:space="preserve">Suministro e instalación de  motor monofásico de techo de 230V, para sistema de blancos. </t>
  </si>
  <si>
    <t xml:space="preserve">Suministro e instalación de rejilla Cárcamo elaborado en ángulos, Angulo 1/2 x 3/16 y Angulo 1.1/2 x 1/8. </t>
  </si>
  <si>
    <t>Suministro e instalación de recubrimiento en madera OSB, e=11mm</t>
  </si>
  <si>
    <t xml:space="preserve">Suministro e instalación de Estantería metálica, construida en ángulos , incluye todo el material y elementos para su correcta instalación y funcionamiento </t>
  </si>
  <si>
    <t xml:space="preserve">Suministro e instalación de reja metálica con bastidor cuadrado   barrotes verticales de tubo cuadrado incluye todo material para su correcto funcionamiento </t>
  </si>
  <si>
    <t xml:space="preserve">Suministro e instalación de puerta interior sencilla entamborada sencilla , bastidor de madera y paneles en tablero contrachapado. Incluye todo el material para su correcto funcionamiento </t>
  </si>
  <si>
    <t xml:space="preserve">Suministro e instalación de puerta metálica , incluye marco , bisagras, pintura con una mano de anticorrosivo y dos manos de pintura de esmalte, además de todo el material y elementos para su correcto funcionamiento e instalación. </t>
  </si>
  <si>
    <t>Suministro e instalación de  alfajía  en CLR CAL. 18, incluye todos los elementos y materiales necesarios para su correcta instalación y funcionamiento</t>
  </si>
  <si>
    <t>Suministro e instalación de bisagra hidráulica</t>
  </si>
  <si>
    <t>Suministro e instalación de película samblasting</t>
  </si>
  <si>
    <t>Suministro e instalación de chapa de seguridad</t>
  </si>
  <si>
    <t>Suministro e instalación de mesón en acero inoxidable</t>
  </si>
  <si>
    <t>Suministro e instalación de lavaplatos en acero inoxidable</t>
  </si>
  <si>
    <t>Suministro e instalación de ventana corrediza en aluminio de dos naves empaquetada, con vidrio de 6 mm templado, cada nave y cerradura color blanco mate</t>
  </si>
  <si>
    <t>SUBTOTAL 6. CARPINTERÍA METÁLICA Y MADERA</t>
  </si>
  <si>
    <t xml:space="preserve">IMPERMEABILIZACIÓN , PINTURA Y ACABADOS  </t>
  </si>
  <si>
    <t>Suministro e instalación de aviso en acrílico de 5mm</t>
  </si>
  <si>
    <t>Muro en súper board dos cara incluye dos manos de pintura, lineales, filos, dilataciones, `perfilerìa, elementos de seguridad.</t>
  </si>
  <si>
    <t>Muro en dry wall doble cara de .12 (insonorizado con frescasa), incluye dos manos de pintura, filos, dilataciones, instalación de tapas contra las ventanas, oficinas segundo piso.</t>
  </si>
  <si>
    <t xml:space="preserve">Aplicación de Estuco sobre muros interiores, incluye, resanes, filos y dilataciones, además de todo el material y herramienta requerida para su correcta ejecución y funcionamiento. </t>
  </si>
  <si>
    <t xml:space="preserve">Impermeabilización de zona inferior de muros exteriores con betún, elastómeros o resinas acrílicas  resistentes a la intemperie , incluye limpieza de muros y todos los materiales necesarios para su correctora aplicación. </t>
  </si>
  <si>
    <t xml:space="preserve">Pintura interior sobre muros, incluye, resanes, filos y dilataciones. Vinilo tipo 1, dos (2) manos, además de todo el material y herramienta requerida para su correcta ejecución y funcionamiento. </t>
  </si>
  <si>
    <t>Suministro e instalación de cielo raso  en dry wall antihongos</t>
  </si>
  <si>
    <t>Suministro e instalación de cenefas en dry wall ancho hasta 0,60 m</t>
  </si>
  <si>
    <t>Suministro e instalación de cielo raso en lamina metálica perforada 60x60</t>
  </si>
  <si>
    <t>Limpieza de cuneta y paso perimetral en piedra natural o adoquín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</si>
  <si>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elástica antigoteras, incluye impermeabilización de fisuras y uniones entre elementos de la cubierta, además de todo el material y herramienta para su correcto funcionamiento </t>
  </si>
  <si>
    <t xml:space="preserve">Suministro e instalación de cuneta perimetral triangular de 0,80 (m) de ancho y 0,33(m) de alto, incluye revestimiento en concreto simple f'C: 21MP e impermeabilización, además de todo el material y herramienta requerida para su correcta ejecución y funcionamiento. </t>
  </si>
  <si>
    <t xml:space="preserve">Suministro e instalación de domo cúpula exterior parabólica en acrílico transparente, incluye desmonte de cúpula existente, impermeabilización en juntas, tornillería , anclajes y todo el material necesario para su correcta instalación y funcionamiento </t>
  </si>
  <si>
    <t>SUBTOTAL 8. CUBIERTA</t>
  </si>
  <si>
    <t xml:space="preserve">INSTALACIONES HIDRÁULICAS Y SANITARIAS </t>
  </si>
  <si>
    <t xml:space="preserve">Montaje de aparatos sanitarios incluye instalación </t>
  </si>
  <si>
    <t>Suministro e instalación de tubería para ventilación PVC 2"</t>
  </si>
  <si>
    <t>Suministro e instalación Tubería sanitaria PVC 2"</t>
  </si>
  <si>
    <t>Suministro e instalación Tubería sanitaria PVC 3"</t>
  </si>
  <si>
    <t>Suministro e instalación de Tubería sanitaria PVC 4"</t>
  </si>
  <si>
    <t>Suministro e instalación de Yee  Reducción Sanitaria PVC 4x2"</t>
  </si>
  <si>
    <t>Suministro e instalación Tee red hidráulica pvc de 1"</t>
  </si>
  <si>
    <t>Suministro e instalación Tee red hidráulica pvc de 2"</t>
  </si>
  <si>
    <t>Suministro e instalación Codo red hidráulica 1"</t>
  </si>
  <si>
    <t>Suministro e instalación Codo red hidráulica 1 1/2"</t>
  </si>
  <si>
    <t>Suministro e instalación Bujes red hidráulica 2 x 1 1/2"</t>
  </si>
  <si>
    <t xml:space="preserve">Suministro e instalación sistemas de Válvulas. </t>
  </si>
  <si>
    <t>Suministro e instalación de rejilla con sosco de 3" a 2" metálicas</t>
  </si>
  <si>
    <t xml:space="preserve">Desmonte, suministro e instalación de llaves y acoples para lavamanos, incluye, accesorios, tubería y de ser necesario cambio en la tubería hidrosanitaria , además, de todo el material  para su correcto funcionamiento e instalación. </t>
  </si>
  <si>
    <t xml:space="preserve">Desmonte, suministro e instalación de  acoples para WC y duchas, incluye, accesorios, tubería y de ser necesario cambio en la tubería hidrosanitaria , además, de todo el material  para su correcto funcionamiento e instalación. </t>
  </si>
  <si>
    <t>Punto sanitario de desagüe de 3" hasta 3 ML , incluye regatas y accesorios</t>
  </si>
  <si>
    <t>Punto sanitario de desagüe de 4" hasta 3 ML , incluye regatas y accesorios</t>
  </si>
  <si>
    <t>Suministro e instalación de sanitario tipo fluxómetro, incluye todos los accesorios para su correcto funcionamiento</t>
  </si>
  <si>
    <t>Suministro e instalación de lavamanos para colocar sobre mesón en granito</t>
  </si>
  <si>
    <t>Suministro e instalación de orinal institucional</t>
  </si>
  <si>
    <t>Suministro e instalación de mesón en granito caracol negro para lavamanos de empotrar, incluye salpicadero y faldón</t>
  </si>
  <si>
    <t>Registro hidráulico de 1/2", incluye tapa</t>
  </si>
  <si>
    <t>Cajas de inspección de 1*1 mts</t>
  </si>
  <si>
    <t xml:space="preserve">SUBTOTAL 9. INSTALACIONES HIDRÁULICAS Y SANITARIAS </t>
  </si>
  <si>
    <t>ELÉCTRICO Y CONECTIVIDAD</t>
  </si>
  <si>
    <t>Suministro e instalación de tablero de 6 circuitos monofásico enchufables, incluye breakers, calidad superior y homologada por normativa RETIE.</t>
  </si>
  <si>
    <t>Suministro e instalación de salida para interruptor doble. Incluye interruptor doble, incluye caja metálica galvanizada, cableado en, tubería EMT, resanes, conectores Y todos los elementos para su correcto funcionamiento.</t>
  </si>
  <si>
    <t xml:space="preserve">Suministro e instalación de Lámpara LED . Incluye la perforación del cielo raso, cableado para salida de alumbrado en cable encauchetado #12 AWG hasta el toma de la salida, clavija aérea;  además de caja  metálica galvanizada hexagonal; suplemento; tomacorriente doble con polo a tierra, cableado en alambre de cobre THWN #12 AWG, tubo EMT de ø1/2", tornillos, regatas , resanes y lo necesario para su correcto funcionamiento </t>
  </si>
  <si>
    <t>Tablero CCM, para inversor de marcha, con protección termo magnética , estación de mando enclavamiento mecánico y eléctrico ensamblado en encerramiento metálico.</t>
  </si>
  <si>
    <t xml:space="preserve">Suministro e instalación de accesorios y equipos para desagüe automático. incluye, todos los materiales y elementos necesarios para su correcta instalación y funcionamiento </t>
  </si>
  <si>
    <t>Suministro e instalación de tubería conduit  de Ø  1/2"</t>
  </si>
  <si>
    <t>Suministro e instalación de tubería conduit de  Ø 3/4"</t>
  </si>
  <si>
    <t>Suministro e instalación de tubería EMT   De  Ø 1/2"</t>
  </si>
  <si>
    <t>Suministro e instalación de tubería EMT  De  Ø 3/4"</t>
  </si>
  <si>
    <t>SUBTOTAL 10. ELÉCTRICO Y CONECTIVIDAD</t>
  </si>
  <si>
    <t>Suministro e instalación de puertas en vidrio templado de 10 mm, incluye samblasting, herrajes y todo lo necesario para su correcto funcionamiento</t>
  </si>
  <si>
    <t>Suministro e instalación de divisiones en vidrio templado de 10 mm, incluye samblasting, perfileria en aluminio tipo F, y todo lo necesario para su correcto funcionamiento</t>
  </si>
  <si>
    <t>Suministro e instalación de puertas en vidrio templado de 10 mm, con perfileria en aluminio proyectante de 1 1/2" * 1 1/2", incluye samblasting y todo lo necesario para su correcto funcionamiento</t>
  </si>
  <si>
    <t>Suministro e instalación de divisiones en vidrio templado de 10 mm, con perfileria en aluminio proyectante de 1 1/2" * 1 1/2", incluye samblasting y todo lo necesario para su correcto funcionamiento</t>
  </si>
  <si>
    <t>Suministro e Instalación de Puertas en Vidrio Templado de 8mm , incluye samblasting , herrajes y todo lo necesario para su correcto funcionamiento.</t>
  </si>
  <si>
    <t>SUBTOTAL 11. VIDRIO</t>
  </si>
  <si>
    <t>Limpieza Mecánica para fachadas</t>
  </si>
  <si>
    <t>Limpieza de ladrillo a la vista</t>
  </si>
  <si>
    <t>Limpieza y mantenimiento de piedra natural  perimetral ,adoquín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</si>
  <si>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SUBTOTAL 12. ASEO Y LIMPIEZA GENERAL</t>
  </si>
  <si>
    <t>COSTOS INDIRECTOS</t>
  </si>
  <si>
    <t>%</t>
  </si>
  <si>
    <t>Administración</t>
  </si>
  <si>
    <t>Imprevistos</t>
  </si>
  <si>
    <t>Utilidad</t>
  </si>
  <si>
    <t>IVA Sobre utilidad</t>
  </si>
  <si>
    <t>DIARQCO CONSTRUCTORES SAS</t>
  </si>
  <si>
    <t>SAFRID INGENIERIA SAS</t>
  </si>
  <si>
    <t>DIF</t>
  </si>
  <si>
    <t>CUADRO N° 01 - COSTOS Y CANTIDADES DE OBRA - MANTENIMIENTO SEDE GIRARDOT</t>
  </si>
  <si>
    <r>
      <rPr>
        <b/>
        <sz val="9"/>
        <color theme="1"/>
        <rFont val="Arial"/>
        <family val="2"/>
      </rPr>
      <t>OBJETO:</t>
    </r>
    <r>
      <rPr>
        <sz val="9"/>
        <color theme="1"/>
        <rFont val="Arial"/>
        <family val="2"/>
      </rPr>
      <t xml:space="preserve"> LA FISCALIA GENERAL DE LA NACION A TRAVÉS DE LA SUBDIRECCIÒN REGIONAL DE APOYO CENTRAL, REQUIERE CONTRATAR EL MANTENIMIENTO Y ADECUACIONES DE LAS SEDES UBICADAS EN LA CARRERA No. 7 21 25/27/31 Y KR 12 16 33 PI 3 – GIRARDOT - CUNDINAMARCA, CON CANTIDADES DE OBRA</t>
    </r>
  </si>
  <si>
    <t>ITEM</t>
  </si>
  <si>
    <t>UNIDAD</t>
  </si>
  <si>
    <t>CANTIDAD DE OBRA</t>
  </si>
  <si>
    <t>RUSSY INGENIEROS SAS</t>
  </si>
  <si>
    <t>SIGEN - DISEÑO Y CONSTRUCCIÓN</t>
  </si>
  <si>
    <t>RL VALSAN CONSTRUCCIONES</t>
  </si>
  <si>
    <r>
      <t>PROMEDIO Y/O MAB</t>
    </r>
    <r>
      <rPr>
        <sz val="10"/>
        <color theme="1"/>
        <rFont val="Arial"/>
        <family val="2"/>
      </rPr>
      <t xml:space="preserve"> DEL </t>
    </r>
    <r>
      <rPr>
        <b/>
        <sz val="10"/>
        <color theme="1"/>
        <rFont val="Arial"/>
        <family val="2"/>
      </rPr>
      <t>VALOR TOTAL DE CANTIDADES DE OBRA</t>
    </r>
  </si>
  <si>
    <t>VALOR UNITARIO</t>
  </si>
  <si>
    <t>VALOR TOTAL</t>
  </si>
  <si>
    <t>COSTOS DIRECTOS</t>
  </si>
  <si>
    <t>1</t>
  </si>
  <si>
    <t>CARPINTERIA METALICA Y MADERA</t>
  </si>
  <si>
    <t>1,1</t>
  </si>
  <si>
    <t>1,2</t>
  </si>
  <si>
    <t>Suministro e instalación de puerta y marco en lamina cold rolle de .90 a 1.20 x  2.20</t>
  </si>
  <si>
    <t>1,3</t>
  </si>
  <si>
    <t>1,4</t>
  </si>
  <si>
    <t>Suministro e instalacion de ventana en aluminio de dos naves empaquetada, con vidrio de 6 mm templado, cada nave</t>
  </si>
  <si>
    <t>SUBTOTAL  CARPINTERIA METALICA Y MADERA</t>
  </si>
  <si>
    <t>2</t>
  </si>
  <si>
    <t>PISOS Y ENCHAPES</t>
  </si>
  <si>
    <t>2,1</t>
  </si>
  <si>
    <t>2,2</t>
  </si>
  <si>
    <t>instalacion de porcelanato de 60*60 tipo alfa o similar trafico alto</t>
  </si>
  <si>
    <t>2,3</t>
  </si>
  <si>
    <t>SUBTOTAL  PISOS Y ENCHAPES</t>
  </si>
  <si>
    <t>3</t>
  </si>
  <si>
    <t>PINTURA Y ACABADOS</t>
  </si>
  <si>
    <t>3,1</t>
  </si>
  <si>
    <t>Pintura en vinilo tipo Koraza para interperie color blanco</t>
  </si>
  <si>
    <t>3,2</t>
  </si>
  <si>
    <t>Suministro y aplicación de pañete</t>
  </si>
  <si>
    <t>3,3</t>
  </si>
  <si>
    <t xml:space="preserve">Suministro e instalación de esgrafiado tipo Graniplast  </t>
  </si>
  <si>
    <t>SUBTOTAL  PINTURA Y ACABADOS</t>
  </si>
  <si>
    <t>4</t>
  </si>
  <si>
    <t>4,1</t>
  </si>
  <si>
    <t>Desmonte de manto existente sobre placa</t>
  </si>
  <si>
    <t>4,2</t>
  </si>
  <si>
    <t>Suministro e instalación de manto asfáltico, autoprotegido con foil aluminio y alma central en poliéster de alta capacidad de calibre igual o superior 3mm (incluye nivelación y alistado de placa)</t>
  </si>
  <si>
    <t>SUBTOTAL CUBIERTA</t>
  </si>
  <si>
    <t>5</t>
  </si>
  <si>
    <t>DIVISIONES Y PUERTAS EN VIDRIO TEMPLADO</t>
  </si>
  <si>
    <t>5,1</t>
  </si>
  <si>
    <t>Suministro e instalacion de divisiones en vidrio templado de 10 mm, incluye samblasting, herrajes y todo lo necesario para su correcto funcionamiento</t>
  </si>
  <si>
    <t>5,2</t>
  </si>
  <si>
    <t>5,3</t>
  </si>
  <si>
    <t>5,4</t>
  </si>
  <si>
    <t>Suministro e Instalacion de divisiones en Vidrio Templado de 8mm , incluye samblasting , herrajes y todo lo necesario para su correcto funcionamineto.</t>
  </si>
  <si>
    <t>SUBTOTAL  DIVISIONES Y PUERTAS EN VIDRIO TEMPLADO</t>
  </si>
  <si>
    <t>6</t>
  </si>
  <si>
    <t>FACHADA</t>
  </si>
  <si>
    <t>6,1</t>
  </si>
  <si>
    <t>Suministro e instalación de  Cortasol Celoscreen en Aluzinc liso con estructura de nivelación y ancleje en estructura metálica o perforado con estructura de nivelación en tubulares de aluminio</t>
  </si>
  <si>
    <t>SUBTOTAL  FACHADA</t>
  </si>
  <si>
    <t>7</t>
  </si>
  <si>
    <t>RETIRO DE ESCOMBROS, ASEO Y LIMPIEZA GENERAL</t>
  </si>
  <si>
    <t>7,1</t>
  </si>
  <si>
    <t>Aseo y limpieza general y retiro de escombros fuera de la sede a un lugar autorizado</t>
  </si>
  <si>
    <t>SUBTOTAL  RETIRO DE ESCOMBROS, ASEO Y LIMPIEZA GENERAL</t>
  </si>
  <si>
    <t>CUADRO N° 02 - COSTOS Y CANTIDADES DE OBRA - MANTENIMIENTO SEDES - MANUEL GAONA CRUZ - SANTUARIO CTI  Y CTI TUNJA</t>
  </si>
  <si>
    <r>
      <rPr>
        <b/>
        <sz val="9"/>
        <color theme="1"/>
        <rFont val="Arial"/>
        <family val="2"/>
      </rPr>
      <t>OBJETO:</t>
    </r>
    <r>
      <rPr>
        <sz val="9"/>
        <color theme="1"/>
        <rFont val="Arial"/>
        <family val="2"/>
      </rPr>
      <t xml:space="preserve"> LA FISCALIA GENERAL DE LA NACION A TRAVÉS DE LA SUBDIRECCIÒN REGIONAL DE APOYO CENTRAL, REQUIERE REALIZAR EL MANTENIMIENTO DE LAS SEDES PROPIAS UBICADAS EN LA CARRERA No. 7 21 25/27/31 Y CARRERA 12 No. 16 - 33 PISO 3 – CTI GIRARDOT - CUNDINAMARCA, CARRERA 33 No. 18 33 EDIFICIO MANUEL GAONA CRUZ, CALLE 18A No. 69B 43 Y CALLE 20 No. 69B 79 SANTUARIO – BOGOTÁ – CUNDINAMARCA Y CALLE 20 No. 7 38/44 CTI TUNJA – BOYACÁ. 
</t>
    </r>
  </si>
  <si>
    <t>CANTIDAD</t>
  </si>
  <si>
    <r>
      <rPr>
        <b/>
        <sz val="14"/>
        <color theme="1"/>
        <rFont val="Arial"/>
        <family val="2"/>
      </rPr>
      <t>PROMEDIO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VALORES UNITARIOS FIJOS</t>
    </r>
  </si>
  <si>
    <t>Localización y replanteo</t>
  </si>
  <si>
    <t xml:space="preserve">Desmonte Sanitarios, orinales, lavaplatos y lavamanos incluye sifones, tapones para tubería, grifería </t>
  </si>
  <si>
    <t>Desmonde de espejos</t>
  </si>
  <si>
    <t>Desmonte de dispensador de papel</t>
  </si>
  <si>
    <t>Desmonte de ductos metálicos de extracción mecánica</t>
  </si>
  <si>
    <t>Demolición de media caña</t>
  </si>
  <si>
    <t>Demolición de placa de concreto reforzada e=0,16cm</t>
  </si>
  <si>
    <t>Desmonte de tanques de asbesto cemento ubicados a una altura 3mts aprox en un entretecho</t>
  </si>
  <si>
    <t xml:space="preserve">Desmonte de canales perimetrales </t>
  </si>
  <si>
    <t xml:space="preserve">Desmonte de bajantes perimetrales </t>
  </si>
  <si>
    <t>Retiro de escombros a lugar autorizado por autoridades ambientales</t>
  </si>
  <si>
    <t>Vigueta de confinamiento concreto de 3,000 psi (incluye refuerzo y todo lo necesario para u correcta ejecucion)</t>
  </si>
  <si>
    <t>Columneta  de confinamiento de 3,000 psi (incluye refuerzo y todo lo necesario para su correcta ejecucion)</t>
  </si>
  <si>
    <t xml:space="preserve">Placa de concret0  e:10 cm (incluye malla electrosoldada y todo lo necesario para su correcto funcionamiento </t>
  </si>
  <si>
    <t xml:space="preserve">Aplicación de estuco sobre muros interiores, incluye, resanes, filos y dilataciones, además de todo el material y herramienta requerida para su correcta ejecución y funcionamiento. </t>
  </si>
  <si>
    <t>Pañete 1:3 impermeabilizado</t>
  </si>
  <si>
    <t xml:space="preserve">Alistado y afinado de piso en mortero 1:3 impermeabilizado </t>
  </si>
  <si>
    <t xml:space="preserve">Suministro e instalación de adoquines o piedra natural incluye la limpieza de la zona, de ser necesario la nivelación del terreno , además de todos los materiales y herramientas para su correcto funcionamiento </t>
  </si>
  <si>
    <t>Suministro e Instalación de Lámina en Superboard de 10  mm  Sobre estructura Metálica, altura 4 mt , incluye tornillería y andamios  y todo lo necesario para su correcta Instalación y  funcionamiento.</t>
  </si>
  <si>
    <t>Instalación de porcelanato de 60*60 Tipo Alfa o similar trafico alto</t>
  </si>
  <si>
    <t>Instalación de guardaescoba en granito natural de h:10 cms</t>
  </si>
  <si>
    <t>Suministro e instalalacion de recebo b200 para relleno(incluye compactacion y todo lo necesario para su correcto funcionamiento)</t>
  </si>
  <si>
    <t>Suministro e instalación de junta de dilatacion en piso</t>
  </si>
  <si>
    <t>Suministro e instalación  bocapuerta en granito</t>
  </si>
  <si>
    <t>Suministro e instalacion de puerta doble hoja en persiana  con pasador,incluye todos los elementos para su correcto funcinamiento</t>
  </si>
  <si>
    <t xml:space="preserve">Reparación de grietas en fachada en piedra natural, con  inyección de mortero con resina epoxi y arena de sílice, de endurecimiento rápido, incluye la limpieza de la grieta, y todos los materiales y herramientas para su buen funcionamiento </t>
  </si>
  <si>
    <t>Muro en dry wall una cara de .12  incluye dos manos de pintura, filos, dilataciones</t>
  </si>
  <si>
    <t>Muro en súper board una cara incluye dos manos de pintura, lineales, filos, dilataciones, `perfilerìa, elementos de seguridad.</t>
  </si>
  <si>
    <t xml:space="preserve">Pintura interior sobre muros, incluye, resanes, filos y dilataciones. vinilo tipo 1, dos (2) manos, además de todo el material y herramienta requerida para su correcta ejecución y funcionamiento. </t>
  </si>
  <si>
    <t xml:space="preserve">SUBTOTAL 7. IMPERMEABILIZACIÓN , PINTURA Y ACABADOS  </t>
  </si>
  <si>
    <t xml:space="preserve">Impermeabilización tipo manto  de 3.0 mm con foil de aluminio o equivalente. </t>
  </si>
  <si>
    <t>Recorrido de cubierta, ajuste, limpieza, sellamiento y suministro de secciones que falten para su normal funcionamiento</t>
  </si>
  <si>
    <t xml:space="preserve">Suministro e instalación de cubierta termoacustica </t>
  </si>
  <si>
    <t>Suministro y aplicación de esmalte incluye  equipo para trabajo en alturas hprom=8m</t>
  </si>
  <si>
    <t>Suministro y aplicación de anticorrosivo,incluye  equipo para trabajo en alturas hprom=8m</t>
  </si>
  <si>
    <t>Suministro e instalación de bajantes perimetrales</t>
  </si>
  <si>
    <t>Suministro e instalación de tubería hidráulica PVC de 1"</t>
  </si>
  <si>
    <t>Suministro e instalación de tubería hidráulica PVC de 2"</t>
  </si>
  <si>
    <t>Suministro e instalación de tubería hidráulica PVC de 1  1/2"</t>
  </si>
  <si>
    <t>Suministro e instalación Yee Reducción Sanitaria PVC 4x3"</t>
  </si>
  <si>
    <t>Suministro e instalación Yee Reducción Sanitaria 3x2"</t>
  </si>
  <si>
    <t xml:space="preserve">Acometida en PVC de 1"  </t>
  </si>
  <si>
    <t xml:space="preserve">Acometida en PVC de 1/2"  </t>
  </si>
  <si>
    <t>Punto de agua fría PVC 1"</t>
  </si>
  <si>
    <t>Suminsitro e instalacion de dispensador de papel</t>
  </si>
  <si>
    <t>Punto sanitario de desagüe de 2" hasta 3 ml , incluye  accesorios</t>
  </si>
  <si>
    <t>Suministro ye instalación de tapa de inspeccion de cielo raso suspendido drywall 0,60x0,60mt.</t>
  </si>
  <si>
    <t>Suministro e instalación de rejilla de ventilacion plastica40x40 para cieloraso en drywall</t>
  </si>
  <si>
    <t>Suministro e instalación de registro 3/4"</t>
  </si>
  <si>
    <t>Suministro e instalación de sanitario para discapacitados</t>
  </si>
  <si>
    <t xml:space="preserve">Barra de seguridad en acero inoxidable de 18" </t>
  </si>
  <si>
    <t>Suministro e instalación de griferia alta para lavamanos</t>
  </si>
  <si>
    <t>Suministro e instalación de lavamanos con pedestal</t>
  </si>
  <si>
    <t>Suministro e instalación de poceta lavatrapero prefabrica</t>
  </si>
  <si>
    <t>Suministro e instalación de tanque pvc de 500 litros incluyendo herrajes y todos los elementos necesarios para su funcionamiento</t>
  </si>
  <si>
    <t>Suministro e instalación de tablero eléctrico  de 36 circuitos</t>
  </si>
  <si>
    <t>Suministro e instalación de tablero eléctrico  de 24 circuitos</t>
  </si>
  <si>
    <t>Suministro e instalación de tablero eléctrico  de 18 circuitos</t>
  </si>
  <si>
    <t>Suministro e instalación de tablero eléctrico  de 12 circuitos</t>
  </si>
  <si>
    <t>Suministro e instalación de tubería conduit de   Ø  1"</t>
  </si>
  <si>
    <t>Suministro e instalación de tubería conduit de   Ø  2"</t>
  </si>
  <si>
    <t>Suministro e instalación de tubería EMT De  Ø  1"</t>
  </si>
  <si>
    <t>Suministro e instalación de tubería EMT De  Ø 1 1/2"</t>
  </si>
  <si>
    <t>Suministro e instalación de tubería EMT De  Ø  2"</t>
  </si>
  <si>
    <t>Suministro e instalación de tubería EMT De  Ø  3"</t>
  </si>
  <si>
    <t>Suministro e instalación de Panel LED incluye: marco en aluminio para panel led, perforacion y ajuste de estructura en cielo raso, clavija aérea, tornillos, fijación y resanes.</t>
  </si>
  <si>
    <t>Suministro e instalacion de ducha electrica</t>
  </si>
  <si>
    <t>Salida para toma corriente doble normal tipó institucional gfci incluye tuberia y alambre #12 prom 0,5 ml</t>
  </si>
  <si>
    <t xml:space="preserve">Suministro e instalacion de bandeja portacables tipo malla de 100x100. </t>
  </si>
  <si>
    <t xml:space="preserve">Suministro e instalacion de bandeja portacables tipo malla de 300x100. </t>
  </si>
  <si>
    <t>Acometida 3#2f+2n+4t</t>
  </si>
  <si>
    <t>Acometida 3#4f+4n+6t</t>
  </si>
  <si>
    <t>Acometida 2#10+12t</t>
  </si>
  <si>
    <t>Suminsitro e instalación de totalizador de 80 amp</t>
  </si>
  <si>
    <t>und</t>
  </si>
  <si>
    <t>Suministro e instalación de cable trenzado nro 12</t>
  </si>
  <si>
    <t>Suminsitro e instalación de breakers 1x30amp</t>
  </si>
  <si>
    <t>Suminsitro e instalación de breakers 1x20amp</t>
  </si>
  <si>
    <t>Suminsitro e instalación de totalizador de 65 amp</t>
  </si>
  <si>
    <t>Suministro e instalación de luminaria lineal policarbonato led , de 120x7 cm de 40w ,color negro, (incluye accesorios de instalacion)</t>
  </si>
  <si>
    <t>ASEO Y LIMPIEZA GENERAL</t>
  </si>
  <si>
    <t>Aseo final de obra</t>
  </si>
  <si>
    <t>CONSORCIO VENTURA</t>
  </si>
  <si>
    <t>CONSORCIO SANALEJA</t>
  </si>
  <si>
    <t>CONS.BOLIVAR</t>
  </si>
  <si>
    <t>CONSORCIO C Y C MANTENIMIENTO 2023</t>
  </si>
  <si>
    <t>CONSORCIO DN-LF</t>
  </si>
  <si>
    <t>RICARDO ROJAS</t>
  </si>
  <si>
    <t>C MANTENIMIENTO FGN 2023</t>
  </si>
  <si>
    <t>SIINCO S.A.S</t>
  </si>
  <si>
    <t>GRUPO TITANIUM S.A.S.</t>
  </si>
  <si>
    <t>CONSMOELEC SAS</t>
  </si>
  <si>
    <t>CONSTRUCAM CONSTRUCCIONES S.A.S.</t>
  </si>
  <si>
    <t>GMA Construcciones SAS</t>
  </si>
  <si>
    <t>CBC INGENIERIA CIVIL Y MANTENIMIENTO SAS</t>
  </si>
  <si>
    <t>ADRIANA ELENA ALVAREZ RIVERA</t>
  </si>
  <si>
    <t>CONSORCIO SINARCO 1</t>
  </si>
  <si>
    <t>CONSORCIO CYD</t>
  </si>
  <si>
    <t>CONSORCIO O&amp;VAL</t>
  </si>
  <si>
    <t>CAMPO ARQUITECTONICO SAS</t>
  </si>
  <si>
    <t>CONSTRUCCIONES C&amp;G SAS</t>
  </si>
  <si>
    <t>Fundacion Espeletia</t>
  </si>
  <si>
    <t>GESTION RURAL Y URBANA S.A.S</t>
  </si>
  <si>
    <t>CONSORCIO ORIENTAL</t>
  </si>
  <si>
    <t>CONSORCIO INGECAR</t>
  </si>
  <si>
    <t>CONSORCIO ABR INGENIERIA</t>
  </si>
  <si>
    <t>ANDRES JAVIER GRANADOS ARCINIEGAS</t>
  </si>
  <si>
    <t>CONSORCIO LA ESPERANZA 2023</t>
  </si>
  <si>
    <t>LIMACOR MY S.A.S.</t>
  </si>
  <si>
    <t>CONSORCIO MERC 2022</t>
  </si>
  <si>
    <t>CONSORCIO CONSTRUHOR</t>
  </si>
  <si>
    <t>CONSTRUCTORA BAYITH S.A.S.</t>
  </si>
  <si>
    <t>CONSORCIO CUBO 2023</t>
  </si>
  <si>
    <t>INSOL S.A.S.</t>
  </si>
  <si>
    <t>CONSORCIO ARCANO</t>
  </si>
  <si>
    <t>ARQUITECTURA MAS VERDE SAS</t>
  </si>
  <si>
    <t>CONSORCIO OE</t>
  </si>
  <si>
    <t>ASIRMAR</t>
  </si>
  <si>
    <t>WRUSSY INGENIEROS S.A.S</t>
  </si>
  <si>
    <t>GRUPO AZER SAS EN REORGANIZACIÓN</t>
  </si>
  <si>
    <t>GRUPO EMPRESARIAL INVERSIONES Y CONSTRUCCIONES CIA S.A.S.</t>
  </si>
  <si>
    <t>CONSORCIO ADECUACIÓN FISCALIA</t>
  </si>
  <si>
    <t>ANGGY NICOLS ACOSTA VELA</t>
  </si>
  <si>
    <t>CONSORCIO OBRAS BATARQ</t>
  </si>
  <si>
    <t>CONSORCIO PROYECTO -7</t>
  </si>
  <si>
    <t>CONSORCIO A&amp;C</t>
  </si>
  <si>
    <t>CONSORCIO OBRAS MR</t>
  </si>
  <si>
    <t>Construcciones AMG SAS</t>
  </si>
  <si>
    <t>COINCO</t>
  </si>
  <si>
    <t>CONSORCIO ALIANZA CONSTRUIR</t>
  </si>
  <si>
    <t>CONSORCIO MANTENIMIENTO T-G-B</t>
  </si>
  <si>
    <t>PROINCO INGENIERIA S.A.S</t>
  </si>
  <si>
    <t>CONSORCIO FISCALÍA 2023</t>
  </si>
  <si>
    <t>CONINCAG SAS</t>
  </si>
  <si>
    <t>G&amp;V ASOCIADOS S.A.S</t>
  </si>
  <si>
    <t>CONSORCIO DJPAI</t>
  </si>
  <si>
    <t>CONSORCIO OBRAS INGEMQ</t>
  </si>
  <si>
    <t>CONSORCIO GEBAR-ADECUACIONES</t>
  </si>
  <si>
    <t>CONSORCIO LA ESPERANZA</t>
  </si>
  <si>
    <t>Diferencia</t>
  </si>
  <si>
    <t>Diferencia ABS</t>
  </si>
  <si>
    <t>Vr. Oferta
Costos directos Bogotá</t>
  </si>
  <si>
    <t>Vr. Oferta Costos directos Girardot</t>
  </si>
  <si>
    <t>CONSTRUCCIONES SS LTDA</t>
  </si>
  <si>
    <t>CONSORCIO PRAGMA BOGOTA</t>
  </si>
  <si>
    <t>CONSORSIO INGERIV</t>
  </si>
  <si>
    <t>COMERCIALIZADORA CONSTRUCCIÓN INGENIERÍA Y ARQUITECTURA GALERIAS LTDA</t>
  </si>
  <si>
    <t>CONSORCIO ARTIKA</t>
  </si>
  <si>
    <t>DRV INGENIERIA SAS</t>
  </si>
  <si>
    <t>CONSORCIO ECODISEÑO 2024</t>
  </si>
  <si>
    <t>CONSORCIO P&amp;R INTEGRAL</t>
  </si>
  <si>
    <t>MONTAJES DE MARCA S.A.</t>
  </si>
  <si>
    <t>CONSORCIO AC MANTENIMIENTO 2024</t>
  </si>
  <si>
    <t>CONSORCIO OBRAS DT</t>
  </si>
  <si>
    <t>YAK TIL SAS</t>
  </si>
  <si>
    <t>GABRIEL ALEJANDRO GONZALEZ BARON</t>
  </si>
  <si>
    <t>CONSORCIO OPS 2024.</t>
  </si>
  <si>
    <t>UNION TEMPORAL SAN JUAN</t>
  </si>
  <si>
    <t>MLG INGENIERIA SAS</t>
  </si>
  <si>
    <t>CONSORCIO MANTENI-PRO 2024</t>
  </si>
  <si>
    <t>CONSORCIO ALX</t>
  </si>
  <si>
    <t>CONSTRUCCIONES ARES SAS</t>
  </si>
  <si>
    <t>CONSORCIO PLATINO</t>
  </si>
  <si>
    <t>C&amp;C SAS</t>
  </si>
  <si>
    <t>CONSORCIO ANDINA 2024</t>
  </si>
  <si>
    <t>CONSORCIO IC-GAONA-2024</t>
  </si>
  <si>
    <t>TELEACCESS LTDA</t>
  </si>
  <si>
    <t>INGTEC SAS</t>
  </si>
  <si>
    <t>CONSORCIO TH.C. 24</t>
  </si>
  <si>
    <t>CONSORCIO FGN 2024</t>
  </si>
  <si>
    <t>REDEX SAS</t>
  </si>
  <si>
    <t>Consorcio Mantenimiento 2024</t>
  </si>
  <si>
    <t>CONSORCIO MANTENIMIENTO FISCALIA</t>
  </si>
  <si>
    <t>CONSORCIO SEDES 11</t>
  </si>
  <si>
    <t>CONSORCIO SRN24</t>
  </si>
  <si>
    <t>CONSORCIO GRUPO CONSTRUCTOR-4</t>
  </si>
  <si>
    <t>CONSORCIO PRO-OBRAS</t>
  </si>
  <si>
    <t>COELCI SAS</t>
  </si>
  <si>
    <t>CONSORCIO RAPTOR</t>
  </si>
  <si>
    <t>CONSORCIO BRISAS</t>
  </si>
  <si>
    <t>CONSORCIO INGENIERIA B-G</t>
  </si>
  <si>
    <t>CONSORCIO MALAGA</t>
  </si>
  <si>
    <t>CONSORCIO ROCA 2024</t>
  </si>
  <si>
    <t>CONSORCIO MANTENIMIENTO FISCALIA 2024</t>
  </si>
  <si>
    <t>CONSORCIO EMQ2020</t>
  </si>
  <si>
    <t>CONSORCIO G+I 2024</t>
  </si>
  <si>
    <t>CONSORCIO SAN JOSE 2024</t>
  </si>
  <si>
    <t>ACERO MAS CONCRETO SAS</t>
  </si>
  <si>
    <t>CONSORCIO INGEART</t>
  </si>
  <si>
    <t>CONSORCIO EI MANTENIMIENTOS FISCALIA</t>
  </si>
  <si>
    <t>CONSORCIO PH</t>
  </si>
  <si>
    <t>CONSORCIO R.I.S.A.</t>
  </si>
  <si>
    <t>CONSORCIO ZAFIRO</t>
  </si>
  <si>
    <t>CONSORCIO ARAM</t>
  </si>
  <si>
    <t>INVERSIONES G Y S S.A.S.</t>
  </si>
  <si>
    <t>CONSORCIO REDDINGTON</t>
  </si>
  <si>
    <t>CONSORCIO OBRAS MONUMENTAL</t>
  </si>
  <si>
    <t>CONSORCIO ULTRA PROYECTOS</t>
  </si>
  <si>
    <t>ALCALA Y ESPINOSA</t>
  </si>
  <si>
    <t>CONSORCIO PROSUMAC</t>
  </si>
  <si>
    <t>INGENIERIA Y ARQUITECTURA HOSPITALARIA S.A.S</t>
  </si>
  <si>
    <t>CONSORCIO CICJAS</t>
  </si>
  <si>
    <t>EL BOGA</t>
  </si>
  <si>
    <t>CONSORCIO ESTELAR</t>
  </si>
  <si>
    <t>CONSORCIO OBRAS 2D</t>
  </si>
  <si>
    <t>CONSORCIO TURISTICO</t>
  </si>
  <si>
    <t>CONSORCIO CE FISCALÍA CENTRAL</t>
  </si>
  <si>
    <t>CONSORCIO KARSOL</t>
  </si>
  <si>
    <t>H.A.H CONSTRUCCIONES S.A.S</t>
  </si>
  <si>
    <t>CONSORCIO MANTENIMIENTO</t>
  </si>
  <si>
    <t>CONSORCIO SYNARCA</t>
  </si>
  <si>
    <t>Logia 3</t>
  </si>
  <si>
    <t>CONSORCIO SAN AGUSTIN</t>
  </si>
  <si>
    <t>EIDELCA S.A.S.</t>
  </si>
  <si>
    <t>CONSORCIO INTERHUILA</t>
  </si>
  <si>
    <t>CONSORCIO JA</t>
  </si>
  <si>
    <t>ABILE S.A.S</t>
  </si>
  <si>
    <t>CONSORCIO CEIBA INGENIEROS</t>
  </si>
  <si>
    <t>CONSORCIO BRJC</t>
  </si>
  <si>
    <t>GERMAN RAMIREZ BARBOSA</t>
  </si>
  <si>
    <t>CONSORCIO CAN</t>
  </si>
  <si>
    <t>CONSORCIO ROCAFUERTE PROJECT</t>
  </si>
  <si>
    <t>UT COINSI-FEXXA 003</t>
  </si>
  <si>
    <t>PROSOI.SAS</t>
  </si>
  <si>
    <t>CONSORCIO FGN BG 1724</t>
  </si>
  <si>
    <t>CONSORCIO CMC FISCALÍA 2024</t>
  </si>
  <si>
    <t>BASA DISEÑO S.A.S</t>
  </si>
  <si>
    <t>TECNISA S.A.S.</t>
  </si>
  <si>
    <t>UNION TEMPORAL INFRA</t>
  </si>
  <si>
    <t>CONSORCIO P&amp;C</t>
  </si>
  <si>
    <t>C. LOCATIVAS ORION ABN</t>
  </si>
  <si>
    <t>CONSORCIO ZETA</t>
  </si>
  <si>
    <t>Vr. Oferta Girardot
Costos directos</t>
  </si>
  <si>
    <t>Vr. Oferta Girardot Costos Indirectos</t>
  </si>
  <si>
    <t>CUMPLE/NO CUMPLE</t>
  </si>
  <si>
    <t>Vr. Oferta Bogota
Costos directos</t>
  </si>
  <si>
    <t>Vr. Oferta Bogota Costos Indirectos</t>
  </si>
  <si>
    <t>CUMPLE</t>
  </si>
  <si>
    <t>NO HABILITADO</t>
  </si>
  <si>
    <t>N/A</t>
  </si>
  <si>
    <t>RECHAZADO: No justifico sus precios</t>
  </si>
  <si>
    <t>MEDIA ARITMETICA OFERTAS VALIDAS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</si>
</sst>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_ * #,##0.00_ ;_ * \-#,##0.00_ ;_ * &quot;-&quot;??_ ;_ @_ "/>
    <numFmt numFmtId="166" formatCode="_(&quot;$&quot;\ * #,##0.00_);_(&quot;$&quot;\ * \(#,##0.00\);_(&quot;$&quot;\ * &quot;-&quot;??_);_(@_)"/>
    <numFmt numFmtId="167" formatCode="_-* #,##0.00\ _€_-;\-* #,##0.00\ _€_-;_-* &quot;-&quot;??\ _€_-;_-@_-"/>
    <numFmt numFmtId="168" formatCode="&quot;$&quot;\ #,##0.00"/>
    <numFmt numFmtId="169" formatCode="&quot;$&quot;\ #,##0"/>
    <numFmt numFmtId="170" formatCode="0.0000000"/>
    <numFmt numFmtId="171" formatCode="_(&quot;$&quot;\ * #,##0_);_(&quot;$&quot;\ * \(#,##0\);_(&quot;$&quot;\ * &quot;-&quot;??_);_(@_)"/>
    <numFmt numFmtId="172" formatCode="_-&quot;$&quot;\ * #,##0_-;\-&quot;$&quot;\ * #,##0_-;_-&quot;$&quot;\ * &quot;-&quot;??_-;_-@_-"/>
    <numFmt numFmtId="173" formatCode="&quot;$&quot;\ #,##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5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445">
    <xf numFmtId="0" fontId="0" fillId="0" borderId="0" xfId="0"/>
    <xf numFmtId="0" fontId="0" fillId="0" borderId="0" xfId="0" applyAlignment="1">
      <alignment horizontal="center"/>
    </xf>
    <xf numFmtId="0" fontId="11" fillId="0" borderId="0" xfId="0" applyFont="1"/>
    <xf numFmtId="4" fontId="11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justify" vertical="center" wrapText="1"/>
    </xf>
    <xf numFmtId="4" fontId="12" fillId="2" borderId="22" xfId="0" applyNumberFormat="1" applyFont="1" applyFill="1" applyBorder="1" applyAlignment="1" applyProtection="1">
      <alignment horizontal="center" vertical="center" wrapText="1"/>
      <protection locked="0"/>
    </xf>
    <xf numFmtId="9" fontId="13" fillId="2" borderId="22" xfId="0" applyNumberFormat="1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 wrapText="1"/>
    </xf>
    <xf numFmtId="9" fontId="13" fillId="2" borderId="22" xfId="7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0" fontId="10" fillId="8" borderId="22" xfId="0" applyFont="1" applyFill="1" applyBorder="1" applyAlignment="1" applyProtection="1">
      <alignment horizontal="center" vertical="center"/>
      <protection locked="0"/>
    </xf>
    <xf numFmtId="0" fontId="10" fillId="8" borderId="22" xfId="0" applyFont="1" applyFill="1" applyBorder="1" applyAlignment="1" applyProtection="1">
      <alignment horizontal="center" vertical="center" wrapText="1"/>
      <protection locked="0"/>
    </xf>
    <xf numFmtId="0" fontId="13" fillId="8" borderId="22" xfId="0" applyFont="1" applyFill="1" applyBorder="1" applyAlignment="1">
      <alignment horizontal="center" vertical="center" wrapText="1"/>
    </xf>
    <xf numFmtId="168" fontId="13" fillId="8" borderId="22" xfId="0" applyNumberFormat="1" applyFont="1" applyFill="1" applyBorder="1" applyAlignment="1">
      <alignment horizontal="center" vertical="center"/>
    </xf>
    <xf numFmtId="168" fontId="11" fillId="0" borderId="0" xfId="0" applyNumberFormat="1" applyFont="1" applyAlignment="1">
      <alignment vertical="center"/>
    </xf>
    <xf numFmtId="0" fontId="0" fillId="8" borderId="0" xfId="0" applyFill="1"/>
    <xf numFmtId="0" fontId="0" fillId="9" borderId="0" xfId="0" applyFill="1"/>
    <xf numFmtId="169" fontId="14" fillId="9" borderId="22" xfId="0" applyNumberFormat="1" applyFont="1" applyFill="1" applyBorder="1" applyAlignment="1">
      <alignment vertical="center"/>
    </xf>
    <xf numFmtId="8" fontId="11" fillId="0" borderId="0" xfId="0" applyNumberFormat="1" applyFont="1"/>
    <xf numFmtId="0" fontId="14" fillId="8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justify" vertical="center"/>
    </xf>
    <xf numFmtId="6" fontId="11" fillId="0" borderId="0" xfId="0" applyNumberFormat="1" applyFont="1"/>
    <xf numFmtId="169" fontId="9" fillId="0" borderId="22" xfId="0" applyNumberFormat="1" applyFont="1" applyBorder="1" applyAlignment="1">
      <alignment horizontal="justify" vertical="center" wrapText="1"/>
    </xf>
    <xf numFmtId="0" fontId="14" fillId="8" borderId="22" xfId="0" applyFont="1" applyFill="1" applyBorder="1" applyAlignment="1">
      <alignment horizontal="center" vertical="center" wrapText="1"/>
    </xf>
    <xf numFmtId="168" fontId="9" fillId="0" borderId="22" xfId="0" applyNumberFormat="1" applyFont="1" applyBorder="1" applyAlignment="1">
      <alignment horizontal="center" vertical="center"/>
    </xf>
    <xf numFmtId="169" fontId="9" fillId="0" borderId="22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4" fontId="5" fillId="0" borderId="30" xfId="0" applyNumberFormat="1" applyFont="1" applyBorder="1" applyAlignment="1">
      <alignment horizontal="center" vertical="center"/>
    </xf>
    <xf numFmtId="2" fontId="4" fillId="5" borderId="8" xfId="0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justify" vertical="center" wrapText="1"/>
    </xf>
    <xf numFmtId="4" fontId="5" fillId="5" borderId="26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32" xfId="0" applyNumberFormat="1" applyFont="1" applyBorder="1" applyAlignment="1" applyProtection="1">
      <alignment horizontal="center" vertical="center" wrapText="1"/>
      <protection locked="0"/>
    </xf>
    <xf numFmtId="0" fontId="5" fillId="2" borderId="30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vertical="center"/>
    </xf>
    <xf numFmtId="0" fontId="7" fillId="5" borderId="11" xfId="0" applyFont="1" applyFill="1" applyBorder="1" applyAlignment="1">
      <alignment horizontal="justify" vertical="center"/>
    </xf>
    <xf numFmtId="0" fontId="4" fillId="5" borderId="26" xfId="0" applyFont="1" applyFill="1" applyBorder="1"/>
    <xf numFmtId="0" fontId="8" fillId="5" borderId="11" xfId="0" applyFont="1" applyFill="1" applyBorder="1" applyAlignment="1" applyProtection="1">
      <alignment horizontal="justify" vertical="center" wrapText="1"/>
      <protection locked="0"/>
    </xf>
    <xf numFmtId="4" fontId="4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>
      <alignment horizontal="center" vertical="center"/>
    </xf>
    <xf numFmtId="2" fontId="7" fillId="5" borderId="8" xfId="0" applyNumberFormat="1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justify" vertical="center" wrapText="1"/>
    </xf>
    <xf numFmtId="0" fontId="8" fillId="5" borderId="26" xfId="0" applyFont="1" applyFill="1" applyBorder="1" applyAlignment="1">
      <alignment horizontal="center" vertical="center"/>
    </xf>
    <xf numFmtId="2" fontId="4" fillId="2" borderId="29" xfId="0" applyNumberFormat="1" applyFont="1" applyFill="1" applyBorder="1" applyAlignment="1">
      <alignment horizontal="center" vertical="center" wrapText="1"/>
    </xf>
    <xf numFmtId="4" fontId="7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26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4" fontId="8" fillId="5" borderId="26" xfId="0" applyNumberFormat="1" applyFont="1" applyFill="1" applyBorder="1" applyAlignment="1">
      <alignment horizontal="center" vertical="center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justify" wrapText="1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7" fillId="5" borderId="8" xfId="0" applyFont="1" applyFill="1" applyBorder="1" applyAlignment="1">
      <alignment horizontal="center"/>
    </xf>
    <xf numFmtId="0" fontId="7" fillId="5" borderId="11" xfId="0" applyFont="1" applyFill="1" applyBorder="1" applyAlignment="1">
      <alignment vertical="center" wrapText="1"/>
    </xf>
    <xf numFmtId="0" fontId="7" fillId="5" borderId="26" xfId="0" applyFont="1" applyFill="1" applyBorder="1"/>
    <xf numFmtId="0" fontId="4" fillId="5" borderId="8" xfId="0" applyFont="1" applyFill="1" applyBorder="1" applyAlignment="1">
      <alignment horizontal="center"/>
    </xf>
    <xf numFmtId="9" fontId="4" fillId="0" borderId="30" xfId="7" applyFont="1" applyBorder="1" applyAlignment="1">
      <alignment horizontal="center" vertical="center"/>
    </xf>
    <xf numFmtId="9" fontId="4" fillId="0" borderId="32" xfId="7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169" fontId="9" fillId="0" borderId="22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justify" vertical="center" wrapText="1"/>
    </xf>
    <xf numFmtId="0" fontId="18" fillId="5" borderId="23" xfId="0" applyFont="1" applyFill="1" applyBorder="1" applyAlignment="1">
      <alignment horizontal="center" vertical="center" wrapText="1"/>
    </xf>
    <xf numFmtId="0" fontId="18" fillId="5" borderId="43" xfId="0" applyFont="1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18" fillId="5" borderId="20" xfId="0" applyFont="1" applyFill="1" applyBorder="1" applyAlignment="1">
      <alignment horizontal="center" vertical="center" wrapText="1"/>
    </xf>
    <xf numFmtId="0" fontId="6" fillId="8" borderId="45" xfId="0" applyFont="1" applyFill="1" applyBorder="1" applyAlignment="1">
      <alignment horizontal="center"/>
    </xf>
    <xf numFmtId="0" fontId="19" fillId="8" borderId="45" xfId="0" applyFont="1" applyFill="1" applyBorder="1" applyAlignment="1">
      <alignment vertical="center" wrapText="1"/>
    </xf>
    <xf numFmtId="0" fontId="19" fillId="8" borderId="45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6" fillId="8" borderId="46" xfId="0" applyFont="1" applyFill="1" applyBorder="1"/>
    <xf numFmtId="0" fontId="6" fillId="8" borderId="47" xfId="0" applyFont="1" applyFill="1" applyBorder="1"/>
    <xf numFmtId="0" fontId="6" fillId="8" borderId="32" xfId="0" applyFont="1" applyFill="1" applyBorder="1"/>
    <xf numFmtId="0" fontId="6" fillId="8" borderId="21" xfId="0" applyFont="1" applyFill="1" applyBorder="1"/>
    <xf numFmtId="0" fontId="0" fillId="8" borderId="1" xfId="0" applyFill="1" applyBorder="1"/>
    <xf numFmtId="49" fontId="18" fillId="5" borderId="38" xfId="0" applyNumberFormat="1" applyFont="1" applyFill="1" applyBorder="1" applyAlignment="1">
      <alignment horizontal="center"/>
    </xf>
    <xf numFmtId="0" fontId="18" fillId="5" borderId="39" xfId="0" applyFont="1" applyFill="1" applyBorder="1" applyAlignment="1">
      <alignment horizontal="center" wrapText="1"/>
    </xf>
    <xf numFmtId="0" fontId="18" fillId="5" borderId="39" xfId="0" applyFont="1" applyFill="1" applyBorder="1" applyAlignment="1">
      <alignment horizontal="center"/>
    </xf>
    <xf numFmtId="0" fontId="18" fillId="5" borderId="27" xfId="0" applyFont="1" applyFill="1" applyBorder="1" applyAlignment="1">
      <alignment horizontal="center"/>
    </xf>
    <xf numFmtId="168" fontId="18" fillId="5" borderId="38" xfId="0" applyNumberFormat="1" applyFont="1" applyFill="1" applyBorder="1" applyAlignment="1">
      <alignment horizontal="right"/>
    </xf>
    <xf numFmtId="168" fontId="18" fillId="5" borderId="40" xfId="0" applyNumberFormat="1" applyFont="1" applyFill="1" applyBorder="1" applyAlignment="1">
      <alignment horizontal="right"/>
    </xf>
    <xf numFmtId="168" fontId="18" fillId="5" borderId="26" xfId="0" applyNumberFormat="1" applyFont="1" applyFill="1" applyBorder="1" applyAlignment="1">
      <alignment horizontal="right"/>
    </xf>
    <xf numFmtId="168" fontId="18" fillId="5" borderId="27" xfId="0" applyNumberFormat="1" applyFont="1" applyFill="1" applyBorder="1" applyAlignment="1">
      <alignment horizontal="right"/>
    </xf>
    <xf numFmtId="0" fontId="0" fillId="5" borderId="8" xfId="0" applyFill="1" applyBorder="1"/>
    <xf numFmtId="49" fontId="2" fillId="0" borderId="37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 wrapText="1"/>
    </xf>
    <xf numFmtId="0" fontId="2" fillId="2" borderId="37" xfId="0" applyFont="1" applyFill="1" applyBorder="1" applyAlignment="1">
      <alignment horizontal="center" vertical="center"/>
    </xf>
    <xf numFmtId="2" fontId="2" fillId="2" borderId="20" xfId="0" applyNumberFormat="1" applyFont="1" applyFill="1" applyBorder="1" applyAlignment="1">
      <alignment horizontal="center" vertical="center"/>
    </xf>
    <xf numFmtId="168" fontId="2" fillId="0" borderId="36" xfId="0" applyNumberFormat="1" applyFont="1" applyBorder="1" applyAlignment="1">
      <alignment horizontal="right" vertical="center"/>
    </xf>
    <xf numFmtId="168" fontId="2" fillId="0" borderId="17" xfId="0" applyNumberFormat="1" applyFont="1" applyBorder="1" applyAlignment="1">
      <alignment horizontal="right" vertical="center"/>
    </xf>
    <xf numFmtId="168" fontId="2" fillId="0" borderId="28" xfId="0" applyNumberFormat="1" applyFont="1" applyBorder="1" applyAlignment="1">
      <alignment horizontal="right" vertical="center"/>
    </xf>
    <xf numFmtId="168" fontId="2" fillId="0" borderId="20" xfId="0" applyNumberFormat="1" applyFont="1" applyBorder="1" applyAlignment="1">
      <alignment horizontal="right" vertical="center"/>
    </xf>
    <xf numFmtId="168" fontId="2" fillId="6" borderId="17" xfId="0" applyNumberFormat="1" applyFont="1" applyFill="1" applyBorder="1" applyAlignment="1">
      <alignment horizontal="right" vertical="center"/>
    </xf>
    <xf numFmtId="171" fontId="0" fillId="0" borderId="13" xfId="12" applyNumberFormat="1" applyFont="1" applyBorder="1" applyAlignment="1">
      <alignment vertical="center"/>
    </xf>
    <xf numFmtId="49" fontId="2" fillId="0" borderId="22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 wrapText="1"/>
    </xf>
    <xf numFmtId="0" fontId="2" fillId="2" borderId="22" xfId="0" applyFont="1" applyFill="1" applyBorder="1" applyAlignment="1">
      <alignment horizontal="center" vertical="center"/>
    </xf>
    <xf numFmtId="2" fontId="2" fillId="2" borderId="18" xfId="0" applyNumberFormat="1" applyFont="1" applyFill="1" applyBorder="1" applyAlignment="1">
      <alignment horizontal="center" vertical="center"/>
    </xf>
    <xf numFmtId="168" fontId="2" fillId="0" borderId="24" xfId="0" applyNumberFormat="1" applyFont="1" applyBorder="1" applyAlignment="1">
      <alignment horizontal="right" vertical="center"/>
    </xf>
    <xf numFmtId="168" fontId="2" fillId="0" borderId="41" xfId="0" applyNumberFormat="1" applyFont="1" applyBorder="1" applyAlignment="1">
      <alignment horizontal="right" vertical="center"/>
    </xf>
    <xf numFmtId="168" fontId="2" fillId="0" borderId="30" xfId="0" applyNumberFormat="1" applyFont="1" applyBorder="1" applyAlignment="1">
      <alignment horizontal="right" vertical="center"/>
    </xf>
    <xf numFmtId="168" fontId="2" fillId="0" borderId="18" xfId="0" applyNumberFormat="1" applyFont="1" applyBorder="1" applyAlignment="1">
      <alignment horizontal="right" vertical="center"/>
    </xf>
    <xf numFmtId="168" fontId="2" fillId="6" borderId="41" xfId="0" applyNumberFormat="1" applyFont="1" applyFill="1" applyBorder="1" applyAlignment="1">
      <alignment horizontal="right" vertical="center"/>
    </xf>
    <xf numFmtId="171" fontId="0" fillId="0" borderId="29" xfId="12" applyNumberFormat="1" applyFont="1" applyBorder="1" applyAlignment="1">
      <alignment vertical="center"/>
    </xf>
    <xf numFmtId="49" fontId="2" fillId="0" borderId="48" xfId="0" applyNumberFormat="1" applyFont="1" applyBorder="1" applyAlignment="1">
      <alignment horizontal="center" vertical="center"/>
    </xf>
    <xf numFmtId="0" fontId="2" fillId="2" borderId="48" xfId="0" applyFont="1" applyFill="1" applyBorder="1" applyAlignment="1">
      <alignment horizontal="left" vertical="center" wrapText="1"/>
    </xf>
    <xf numFmtId="0" fontId="2" fillId="2" borderId="48" xfId="0" applyFont="1" applyFill="1" applyBorder="1" applyAlignment="1">
      <alignment horizontal="center" vertical="center"/>
    </xf>
    <xf numFmtId="2" fontId="2" fillId="2" borderId="21" xfId="0" applyNumberFormat="1" applyFont="1" applyFill="1" applyBorder="1" applyAlignment="1">
      <alignment horizontal="center" vertical="center"/>
    </xf>
    <xf numFmtId="168" fontId="2" fillId="0" borderId="46" xfId="0" applyNumberFormat="1" applyFont="1" applyBorder="1" applyAlignment="1">
      <alignment horizontal="right" vertical="center"/>
    </xf>
    <xf numFmtId="168" fontId="2" fillId="6" borderId="47" xfId="0" applyNumberFormat="1" applyFont="1" applyFill="1" applyBorder="1" applyAlignment="1">
      <alignment horizontal="right" vertical="center"/>
    </xf>
    <xf numFmtId="168" fontId="2" fillId="0" borderId="32" xfId="0" applyNumberFormat="1" applyFont="1" applyBorder="1" applyAlignment="1">
      <alignment horizontal="right" vertical="center"/>
    </xf>
    <xf numFmtId="168" fontId="2" fillId="0" borderId="21" xfId="0" applyNumberFormat="1" applyFont="1" applyBorder="1" applyAlignment="1">
      <alignment horizontal="right" vertical="center"/>
    </xf>
    <xf numFmtId="168" fontId="2" fillId="0" borderId="47" xfId="0" applyNumberFormat="1" applyFont="1" applyBorder="1" applyAlignment="1">
      <alignment horizontal="right" vertical="center"/>
    </xf>
    <xf numFmtId="49" fontId="2" fillId="0" borderId="38" xfId="0" applyNumberFormat="1" applyFont="1" applyBorder="1" applyAlignment="1">
      <alignment horizontal="center" vertical="center"/>
    </xf>
    <xf numFmtId="0" fontId="18" fillId="3" borderId="39" xfId="0" applyFont="1" applyFill="1" applyBorder="1" applyAlignment="1">
      <alignment horizontal="left" vertical="center" wrapText="1"/>
    </xf>
    <xf numFmtId="0" fontId="2" fillId="3" borderId="39" xfId="0" applyFont="1" applyFill="1" applyBorder="1" applyAlignment="1">
      <alignment horizontal="center" vertical="center"/>
    </xf>
    <xf numFmtId="2" fontId="2" fillId="3" borderId="27" xfId="0" applyNumberFormat="1" applyFont="1" applyFill="1" applyBorder="1" applyAlignment="1">
      <alignment horizontal="center" vertical="center"/>
    </xf>
    <xf numFmtId="168" fontId="2" fillId="3" borderId="38" xfId="0" applyNumberFormat="1" applyFont="1" applyFill="1" applyBorder="1" applyAlignment="1">
      <alignment horizontal="right" vertical="center"/>
    </xf>
    <xf numFmtId="168" fontId="18" fillId="11" borderId="40" xfId="0" applyNumberFormat="1" applyFont="1" applyFill="1" applyBorder="1" applyAlignment="1">
      <alignment horizontal="right" vertical="center"/>
    </xf>
    <xf numFmtId="168" fontId="18" fillId="3" borderId="26" xfId="0" applyNumberFormat="1" applyFont="1" applyFill="1" applyBorder="1" applyAlignment="1">
      <alignment horizontal="right" vertical="center"/>
    </xf>
    <xf numFmtId="168" fontId="18" fillId="4" borderId="27" xfId="0" applyNumberFormat="1" applyFont="1" applyFill="1" applyBorder="1" applyAlignment="1">
      <alignment horizontal="right" vertical="center"/>
    </xf>
    <xf numFmtId="168" fontId="18" fillId="3" borderId="38" xfId="0" applyNumberFormat="1" applyFont="1" applyFill="1" applyBorder="1" applyAlignment="1">
      <alignment horizontal="right" vertical="center"/>
    </xf>
    <xf numFmtId="171" fontId="20" fillId="9" borderId="8" xfId="0" applyNumberFormat="1" applyFont="1" applyFill="1" applyBorder="1" applyAlignment="1">
      <alignment vertical="center"/>
    </xf>
    <xf numFmtId="49" fontId="18" fillId="5" borderId="37" xfId="0" applyNumberFormat="1" applyFont="1" applyFill="1" applyBorder="1" applyAlignment="1">
      <alignment horizontal="center" vertical="center"/>
    </xf>
    <xf numFmtId="0" fontId="18" fillId="5" borderId="37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68" fontId="2" fillId="5" borderId="36" xfId="0" applyNumberFormat="1" applyFont="1" applyFill="1" applyBorder="1" applyAlignment="1">
      <alignment horizontal="right" vertical="center"/>
    </xf>
    <xf numFmtId="168" fontId="2" fillId="5" borderId="17" xfId="0" applyNumberFormat="1" applyFont="1" applyFill="1" applyBorder="1" applyAlignment="1">
      <alignment horizontal="right" vertical="center"/>
    </xf>
    <xf numFmtId="168" fontId="2" fillId="5" borderId="28" xfId="0" applyNumberFormat="1" applyFont="1" applyFill="1" applyBorder="1" applyAlignment="1">
      <alignment horizontal="right" vertical="center"/>
    </xf>
    <xf numFmtId="168" fontId="2" fillId="5" borderId="20" xfId="0" applyNumberFormat="1" applyFont="1" applyFill="1" applyBorder="1" applyAlignment="1">
      <alignment horizontal="right" vertical="center"/>
    </xf>
    <xf numFmtId="0" fontId="0" fillId="5" borderId="13" xfId="0" applyFill="1" applyBorder="1" applyAlignment="1">
      <alignment vertical="center"/>
    </xf>
    <xf numFmtId="49" fontId="2" fillId="2" borderId="22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 wrapText="1"/>
    </xf>
    <xf numFmtId="49" fontId="2" fillId="3" borderId="38" xfId="0" applyNumberFormat="1" applyFont="1" applyFill="1" applyBorder="1" applyAlignment="1">
      <alignment horizontal="center" vertical="center"/>
    </xf>
    <xf numFmtId="49" fontId="18" fillId="5" borderId="38" xfId="0" applyNumberFormat="1" applyFont="1" applyFill="1" applyBorder="1" applyAlignment="1">
      <alignment horizontal="center" vertical="center"/>
    </xf>
    <xf numFmtId="0" fontId="18" fillId="5" borderId="39" xfId="0" applyFont="1" applyFill="1" applyBorder="1" applyAlignment="1">
      <alignment horizontal="center" vertical="center" wrapText="1"/>
    </xf>
    <xf numFmtId="0" fontId="18" fillId="5" borderId="39" xfId="0" applyFont="1" applyFill="1" applyBorder="1" applyAlignment="1">
      <alignment horizontal="center" vertical="center"/>
    </xf>
    <xf numFmtId="0" fontId="18" fillId="5" borderId="27" xfId="0" applyFont="1" applyFill="1" applyBorder="1" applyAlignment="1">
      <alignment horizontal="center" vertical="center"/>
    </xf>
    <xf numFmtId="168" fontId="2" fillId="5" borderId="38" xfId="0" applyNumberFormat="1" applyFont="1" applyFill="1" applyBorder="1" applyAlignment="1">
      <alignment horizontal="right" vertical="center"/>
    </xf>
    <xf numFmtId="168" fontId="2" fillId="5" borderId="40" xfId="0" applyNumberFormat="1" applyFont="1" applyFill="1" applyBorder="1" applyAlignment="1">
      <alignment horizontal="right" vertical="center"/>
    </xf>
    <xf numFmtId="168" fontId="2" fillId="5" borderId="26" xfId="0" applyNumberFormat="1" applyFont="1" applyFill="1" applyBorder="1" applyAlignment="1">
      <alignment horizontal="right" vertical="center"/>
    </xf>
    <xf numFmtId="168" fontId="2" fillId="5" borderId="27" xfId="0" applyNumberFormat="1" applyFont="1" applyFill="1" applyBorder="1" applyAlignment="1">
      <alignment horizontal="right" vertical="center"/>
    </xf>
    <xf numFmtId="0" fontId="0" fillId="5" borderId="8" xfId="0" applyFill="1" applyBorder="1" applyAlignment="1">
      <alignment vertical="center"/>
    </xf>
    <xf numFmtId="0" fontId="2" fillId="2" borderId="37" xfId="0" applyFont="1" applyFill="1" applyBorder="1" applyAlignment="1">
      <alignment horizontal="left" vertical="center" wrapText="1"/>
    </xf>
    <xf numFmtId="49" fontId="2" fillId="2" borderId="48" xfId="0" applyNumberFormat="1" applyFont="1" applyFill="1" applyBorder="1" applyAlignment="1">
      <alignment horizontal="center" vertical="center"/>
    </xf>
    <xf numFmtId="49" fontId="18" fillId="3" borderId="38" xfId="0" applyNumberFormat="1" applyFont="1" applyFill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2" fontId="18" fillId="3" borderId="27" xfId="0" applyNumberFormat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171" fontId="20" fillId="9" borderId="11" xfId="0" applyNumberFormat="1" applyFont="1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49" fontId="2" fillId="0" borderId="45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left" vertical="center" wrapText="1"/>
    </xf>
    <xf numFmtId="0" fontId="2" fillId="0" borderId="45" xfId="0" applyFont="1" applyBorder="1" applyAlignment="1">
      <alignment horizontal="center" vertical="center"/>
    </xf>
    <xf numFmtId="2" fontId="2" fillId="0" borderId="35" xfId="0" applyNumberFormat="1" applyFont="1" applyBorder="1" applyAlignment="1">
      <alignment horizontal="center" vertical="center"/>
    </xf>
    <xf numFmtId="168" fontId="2" fillId="0" borderId="49" xfId="0" applyNumberFormat="1" applyFont="1" applyBorder="1" applyAlignment="1">
      <alignment horizontal="right" vertical="center"/>
    </xf>
    <xf numFmtId="168" fontId="2" fillId="0" borderId="50" xfId="0" applyNumberFormat="1" applyFont="1" applyBorder="1" applyAlignment="1">
      <alignment horizontal="right" vertical="center"/>
    </xf>
    <xf numFmtId="168" fontId="2" fillId="0" borderId="34" xfId="0" applyNumberFormat="1" applyFont="1" applyBorder="1" applyAlignment="1">
      <alignment horizontal="right" vertical="center"/>
    </xf>
    <xf numFmtId="168" fontId="2" fillId="0" borderId="35" xfId="0" applyNumberFormat="1" applyFont="1" applyBorder="1" applyAlignment="1">
      <alignment horizontal="right" vertical="center"/>
    </xf>
    <xf numFmtId="171" fontId="0" fillId="0" borderId="16" xfId="12" applyNumberFormat="1" applyFont="1" applyBorder="1" applyAlignment="1">
      <alignment vertical="center"/>
    </xf>
    <xf numFmtId="0" fontId="6" fillId="5" borderId="38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169" fontId="18" fillId="9" borderId="11" xfId="0" applyNumberFormat="1" applyFont="1" applyFill="1" applyBorder="1" applyAlignment="1">
      <alignment horizontal="right" vertical="center"/>
    </xf>
    <xf numFmtId="0" fontId="19" fillId="5" borderId="39" xfId="0" applyFont="1" applyFill="1" applyBorder="1" applyAlignment="1">
      <alignment vertical="center" wrapText="1"/>
    </xf>
    <xf numFmtId="0" fontId="19" fillId="5" borderId="39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6" fillId="5" borderId="38" xfId="0" applyFont="1" applyFill="1" applyBorder="1" applyAlignment="1">
      <alignment vertical="center"/>
    </xf>
    <xf numFmtId="0" fontId="6" fillId="5" borderId="40" xfId="0" applyFont="1" applyFill="1" applyBorder="1" applyAlignment="1">
      <alignment vertical="center"/>
    </xf>
    <xf numFmtId="0" fontId="6" fillId="5" borderId="26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0" fontId="6" fillId="0" borderId="37" xfId="0" applyFont="1" applyBorder="1" applyAlignment="1">
      <alignment vertical="center" wrapText="1"/>
    </xf>
    <xf numFmtId="9" fontId="19" fillId="0" borderId="37" xfId="13" applyFont="1" applyBorder="1" applyAlignment="1">
      <alignment horizontal="center" vertical="center"/>
    </xf>
    <xf numFmtId="9" fontId="6" fillId="0" borderId="20" xfId="13" applyFont="1" applyBorder="1" applyAlignment="1">
      <alignment horizontal="center" vertical="center"/>
    </xf>
    <xf numFmtId="168" fontId="6" fillId="0" borderId="36" xfId="0" applyNumberFormat="1" applyFont="1" applyBorder="1" applyAlignment="1">
      <alignment vertical="center"/>
    </xf>
    <xf numFmtId="166" fontId="2" fillId="0" borderId="17" xfId="12" applyFont="1" applyBorder="1" applyAlignment="1">
      <alignment vertical="center"/>
    </xf>
    <xf numFmtId="168" fontId="6" fillId="0" borderId="28" xfId="0" applyNumberFormat="1" applyFont="1" applyBorder="1" applyAlignment="1">
      <alignment vertical="center"/>
    </xf>
    <xf numFmtId="166" fontId="2" fillId="0" borderId="20" xfId="12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vertical="center" wrapText="1"/>
    </xf>
    <xf numFmtId="9" fontId="19" fillId="0" borderId="22" xfId="13" applyFont="1" applyBorder="1" applyAlignment="1">
      <alignment horizontal="center" vertical="center"/>
    </xf>
    <xf numFmtId="9" fontId="6" fillId="0" borderId="18" xfId="13" applyFont="1" applyBorder="1" applyAlignment="1">
      <alignment horizontal="center" vertical="center"/>
    </xf>
    <xf numFmtId="168" fontId="6" fillId="0" borderId="24" xfId="0" applyNumberFormat="1" applyFont="1" applyBorder="1" applyAlignment="1">
      <alignment vertical="center"/>
    </xf>
    <xf numFmtId="166" fontId="2" fillId="0" borderId="41" xfId="12" applyFont="1" applyBorder="1" applyAlignment="1">
      <alignment vertical="center"/>
    </xf>
    <xf numFmtId="168" fontId="6" fillId="0" borderId="30" xfId="0" applyNumberFormat="1" applyFont="1" applyBorder="1" applyAlignment="1">
      <alignment vertical="center"/>
    </xf>
    <xf numFmtId="166" fontId="2" fillId="0" borderId="18" xfId="12" applyFont="1" applyBorder="1" applyAlignment="1">
      <alignment vertical="center"/>
    </xf>
    <xf numFmtId="171" fontId="0" fillId="0" borderId="14" xfId="12" applyNumberFormat="1" applyFont="1" applyBorder="1" applyAlignment="1">
      <alignment vertical="center"/>
    </xf>
    <xf numFmtId="0" fontId="6" fillId="0" borderId="48" xfId="0" applyFont="1" applyBorder="1" applyAlignment="1">
      <alignment horizontal="center" vertical="center"/>
    </xf>
    <xf numFmtId="0" fontId="6" fillId="0" borderId="48" xfId="0" applyFont="1" applyBorder="1" applyAlignment="1">
      <alignment vertical="center" wrapText="1"/>
    </xf>
    <xf numFmtId="9" fontId="19" fillId="0" borderId="48" xfId="13" applyFont="1" applyBorder="1" applyAlignment="1">
      <alignment horizontal="center" vertical="center"/>
    </xf>
    <xf numFmtId="9" fontId="6" fillId="0" borderId="21" xfId="13" applyFont="1" applyBorder="1" applyAlignment="1">
      <alignment horizontal="center" vertical="center"/>
    </xf>
    <xf numFmtId="168" fontId="6" fillId="0" borderId="46" xfId="0" applyNumberFormat="1" applyFont="1" applyBorder="1" applyAlignment="1">
      <alignment vertical="center"/>
    </xf>
    <xf numFmtId="166" fontId="2" fillId="0" borderId="47" xfId="12" applyFont="1" applyBorder="1" applyAlignment="1">
      <alignment vertical="center"/>
    </xf>
    <xf numFmtId="168" fontId="6" fillId="0" borderId="32" xfId="0" applyNumberFormat="1" applyFont="1" applyBorder="1" applyAlignment="1">
      <alignment vertical="center"/>
    </xf>
    <xf numFmtId="166" fontId="2" fillId="0" borderId="21" xfId="12" applyFont="1" applyBorder="1" applyAlignment="1">
      <alignment vertical="center"/>
    </xf>
    <xf numFmtId="171" fontId="0" fillId="0" borderId="19" xfId="12" applyNumberFormat="1" applyFont="1" applyBorder="1" applyAlignment="1">
      <alignment vertical="center"/>
    </xf>
    <xf numFmtId="166" fontId="18" fillId="11" borderId="40" xfId="12" applyFont="1" applyFill="1" applyBorder="1" applyAlignment="1">
      <alignment horizontal="right" vertical="center"/>
    </xf>
    <xf numFmtId="166" fontId="18" fillId="4" borderId="27" xfId="12" applyFont="1" applyFill="1" applyBorder="1" applyAlignment="1">
      <alignment horizontal="right" vertical="center"/>
    </xf>
    <xf numFmtId="171" fontId="20" fillId="9" borderId="11" xfId="12" applyNumberFormat="1" applyFont="1" applyFill="1" applyBorder="1" applyAlignment="1">
      <alignment vertical="center"/>
    </xf>
    <xf numFmtId="0" fontId="19" fillId="5" borderId="38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vertical="center"/>
    </xf>
    <xf numFmtId="0" fontId="19" fillId="5" borderId="27" xfId="0" applyFont="1" applyFill="1" applyBorder="1" applyAlignment="1">
      <alignment vertical="center"/>
    </xf>
    <xf numFmtId="0" fontId="19" fillId="5" borderId="38" xfId="0" applyFont="1" applyFill="1" applyBorder="1" applyAlignment="1">
      <alignment vertical="center"/>
    </xf>
    <xf numFmtId="168" fontId="19" fillId="11" borderId="40" xfId="0" applyNumberFormat="1" applyFont="1" applyFill="1" applyBorder="1" applyAlignment="1">
      <alignment vertical="center"/>
    </xf>
    <xf numFmtId="0" fontId="19" fillId="5" borderId="26" xfId="0" applyFont="1" applyFill="1" applyBorder="1" applyAlignment="1">
      <alignment vertical="center"/>
    </xf>
    <xf numFmtId="168" fontId="19" fillId="4" borderId="27" xfId="0" applyNumberFormat="1" applyFont="1" applyFill="1" applyBorder="1" applyAlignment="1">
      <alignment vertical="center"/>
    </xf>
    <xf numFmtId="171" fontId="8" fillId="10" borderId="10" xfId="0" applyNumberFormat="1" applyFont="1" applyFill="1" applyBorder="1" applyAlignment="1">
      <alignment vertical="center"/>
    </xf>
    <xf numFmtId="1" fontId="11" fillId="0" borderId="22" xfId="0" applyNumberFormat="1" applyFont="1" applyBorder="1" applyAlignment="1">
      <alignment horizontal="center" vertical="center" wrapText="1"/>
    </xf>
    <xf numFmtId="169" fontId="11" fillId="0" borderId="22" xfId="0" applyNumberFormat="1" applyFont="1" applyBorder="1" applyAlignment="1">
      <alignment vertical="center"/>
    </xf>
    <xf numFmtId="0" fontId="7" fillId="7" borderId="11" xfId="0" applyFont="1" applyFill="1" applyBorder="1" applyAlignment="1">
      <alignment horizontal="center" vertical="center" wrapText="1"/>
    </xf>
    <xf numFmtId="168" fontId="7" fillId="3" borderId="11" xfId="0" applyNumberFormat="1" applyFont="1" applyFill="1" applyBorder="1" applyAlignment="1">
      <alignment horizontal="center" vertical="center" wrapText="1"/>
    </xf>
    <xf numFmtId="168" fontId="7" fillId="5" borderId="15" xfId="0" applyNumberFormat="1" applyFont="1" applyFill="1" applyBorder="1" applyAlignment="1">
      <alignment horizontal="center" vertical="center" wrapText="1"/>
    </xf>
    <xf numFmtId="0" fontId="8" fillId="4" borderId="23" xfId="0" applyFont="1" applyFill="1" applyBorder="1" applyAlignment="1" applyProtection="1">
      <alignment horizontal="center" vertical="center"/>
      <protection locked="0"/>
    </xf>
    <xf numFmtId="0" fontId="8" fillId="4" borderId="51" xfId="0" applyFont="1" applyFill="1" applyBorder="1" applyAlignment="1" applyProtection="1">
      <alignment horizontal="left" vertical="center" wrapText="1"/>
      <protection locked="0"/>
    </xf>
    <xf numFmtId="43" fontId="8" fillId="4" borderId="34" xfId="0" applyNumberFormat="1" applyFont="1" applyFill="1" applyBorder="1" applyAlignment="1" applyProtection="1">
      <alignment horizontal="center" vertical="center" wrapText="1"/>
      <protection locked="0"/>
    </xf>
    <xf numFmtId="43" fontId="8" fillId="4" borderId="35" xfId="0" applyNumberFormat="1" applyFont="1" applyFill="1" applyBorder="1" applyAlignment="1" applyProtection="1">
      <alignment horizontal="center" vertical="center" wrapText="1"/>
      <protection locked="0"/>
    </xf>
    <xf numFmtId="168" fontId="8" fillId="4" borderId="14" xfId="0" applyNumberFormat="1" applyFont="1" applyFill="1" applyBorder="1" applyAlignment="1" applyProtection="1">
      <alignment horizontal="right" vertical="center" wrapText="1"/>
      <protection locked="0"/>
    </xf>
    <xf numFmtId="168" fontId="8" fillId="4" borderId="29" xfId="0" applyNumberFormat="1" applyFont="1" applyFill="1" applyBorder="1" applyAlignment="1" applyProtection="1">
      <alignment horizontal="right" vertical="center" wrapText="1"/>
      <protection locked="0"/>
    </xf>
    <xf numFmtId="44" fontId="0" fillId="4" borderId="9" xfId="6" applyFont="1" applyFill="1" applyBorder="1"/>
    <xf numFmtId="2" fontId="6" fillId="0" borderId="2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justify" vertical="center" wrapText="1"/>
    </xf>
    <xf numFmtId="4" fontId="6" fillId="0" borderId="33" xfId="0" applyNumberFormat="1" applyFont="1" applyBorder="1" applyAlignment="1" applyProtection="1">
      <alignment horizontal="center" vertical="center" wrapText="1"/>
      <protection locked="0"/>
    </xf>
    <xf numFmtId="4" fontId="6" fillId="0" borderId="43" xfId="0" applyNumberFormat="1" applyFont="1" applyBorder="1" applyAlignment="1" applyProtection="1">
      <alignment horizontal="center" vertical="center" wrapText="1"/>
      <protection locked="0"/>
    </xf>
    <xf numFmtId="169" fontId="6" fillId="2" borderId="14" xfId="6" applyNumberFormat="1" applyFont="1" applyFill="1" applyBorder="1" applyAlignment="1" applyProtection="1">
      <alignment horizontal="right" vertical="center" wrapText="1"/>
      <protection locked="0"/>
    </xf>
    <xf numFmtId="168" fontId="6" fillId="2" borderId="29" xfId="6" applyNumberFormat="1" applyFont="1" applyFill="1" applyBorder="1" applyAlignment="1" applyProtection="1">
      <alignment horizontal="right" vertical="center" wrapText="1"/>
      <protection locked="0"/>
    </xf>
    <xf numFmtId="172" fontId="6" fillId="2" borderId="14" xfId="6" applyNumberFormat="1" applyFont="1" applyFill="1" applyBorder="1"/>
    <xf numFmtId="0" fontId="6" fillId="2" borderId="14" xfId="1" applyFont="1" applyFill="1" applyBorder="1" applyAlignment="1">
      <alignment horizontal="justify" vertical="center" wrapText="1"/>
    </xf>
    <xf numFmtId="4" fontId="6" fillId="0" borderId="30" xfId="0" applyNumberFormat="1" applyFont="1" applyBorder="1" applyAlignment="1" applyProtection="1">
      <alignment horizontal="center" vertical="center" wrapText="1"/>
      <protection locked="0"/>
    </xf>
    <xf numFmtId="4" fontId="6" fillId="0" borderId="41" xfId="0" applyNumberFormat="1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>
      <alignment horizontal="justify" vertical="center" wrapText="1"/>
    </xf>
    <xf numFmtId="169" fontId="6" fillId="6" borderId="14" xfId="6" applyNumberFormat="1" applyFont="1" applyFill="1" applyBorder="1" applyAlignment="1" applyProtection="1">
      <alignment horizontal="right" vertical="center" wrapText="1"/>
      <protection locked="0"/>
    </xf>
    <xf numFmtId="0" fontId="2" fillId="0" borderId="14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left" vertical="center" wrapText="1"/>
    </xf>
    <xf numFmtId="169" fontId="6" fillId="0" borderId="14" xfId="6" applyNumberFormat="1" applyFont="1" applyFill="1" applyBorder="1" applyAlignment="1" applyProtection="1">
      <alignment horizontal="right" vertical="center" wrapText="1"/>
      <protection locked="0"/>
    </xf>
    <xf numFmtId="168" fontId="6" fillId="0" borderId="29" xfId="6" applyNumberFormat="1" applyFont="1" applyFill="1" applyBorder="1" applyAlignment="1" applyProtection="1">
      <alignment horizontal="right" vertical="center" wrapText="1"/>
      <protection locked="0"/>
    </xf>
    <xf numFmtId="172" fontId="6" fillId="0" borderId="14" xfId="6" applyNumberFormat="1" applyFont="1" applyBorder="1" applyAlignment="1">
      <alignment vertical="center"/>
    </xf>
    <xf numFmtId="0" fontId="6" fillId="2" borderId="14" xfId="0" applyFont="1" applyFill="1" applyBorder="1" applyAlignment="1">
      <alignment horizontal="justify" vertical="center" wrapText="1"/>
    </xf>
    <xf numFmtId="4" fontId="6" fillId="2" borderId="30" xfId="0" applyNumberFormat="1" applyFont="1" applyFill="1" applyBorder="1" applyAlignment="1" applyProtection="1">
      <alignment horizontal="center" vertical="center" wrapText="1"/>
      <protection locked="0"/>
    </xf>
    <xf numFmtId="172" fontId="6" fillId="0" borderId="14" xfId="6" applyNumberFormat="1" applyFont="1" applyBorder="1"/>
    <xf numFmtId="4" fontId="2" fillId="0" borderId="3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justify" vertical="center"/>
    </xf>
    <xf numFmtId="4" fontId="2" fillId="0" borderId="30" xfId="0" applyNumberFormat="1" applyFont="1" applyBorder="1" applyAlignment="1" applyProtection="1">
      <alignment horizontal="center" vertical="center" wrapText="1"/>
      <protection locked="0"/>
    </xf>
    <xf numFmtId="2" fontId="6" fillId="0" borderId="29" xfId="0" applyNumberFormat="1" applyFont="1" applyBorder="1" applyAlignment="1">
      <alignment horizontal="center"/>
    </xf>
    <xf numFmtId="0" fontId="6" fillId="0" borderId="14" xfId="0" applyFont="1" applyBorder="1" applyAlignment="1">
      <alignment vertical="center" wrapText="1"/>
    </xf>
    <xf numFmtId="0" fontId="6" fillId="0" borderId="30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168" fontId="6" fillId="6" borderId="29" xfId="6" applyNumberFormat="1" applyFont="1" applyFill="1" applyBorder="1" applyAlignment="1" applyProtection="1">
      <alignment horizontal="right" vertical="center" wrapText="1"/>
      <protection locked="0"/>
    </xf>
    <xf numFmtId="0" fontId="6" fillId="0" borderId="31" xfId="0" applyFont="1" applyBorder="1" applyAlignment="1">
      <alignment horizontal="center"/>
    </xf>
    <xf numFmtId="0" fontId="6" fillId="0" borderId="19" xfId="0" applyFont="1" applyBorder="1" applyAlignment="1">
      <alignment vertical="center" wrapText="1"/>
    </xf>
    <xf numFmtId="0" fontId="6" fillId="0" borderId="32" xfId="0" applyFont="1" applyBorder="1" applyAlignment="1">
      <alignment horizontal="center"/>
    </xf>
    <xf numFmtId="4" fontId="6" fillId="0" borderId="47" xfId="0" applyNumberFormat="1" applyFont="1" applyBorder="1" applyAlignment="1" applyProtection="1">
      <alignment horizontal="center" vertical="center" wrapText="1"/>
      <protection locked="0"/>
    </xf>
    <xf numFmtId="169" fontId="6" fillId="2" borderId="19" xfId="6" applyNumberFormat="1" applyFont="1" applyFill="1" applyBorder="1" applyAlignment="1" applyProtection="1">
      <alignment horizontal="right" vertical="center" wrapText="1"/>
      <protection locked="0"/>
    </xf>
    <xf numFmtId="168" fontId="6" fillId="2" borderId="31" xfId="6" applyNumberFormat="1" applyFont="1" applyFill="1" applyBorder="1" applyAlignment="1" applyProtection="1">
      <alignment horizontal="right" vertical="center" wrapText="1"/>
      <protection locked="0"/>
    </xf>
    <xf numFmtId="172" fontId="6" fillId="0" borderId="19" xfId="6" applyNumberFormat="1" applyFont="1" applyBorder="1"/>
    <xf numFmtId="4" fontId="5" fillId="5" borderId="40" xfId="0" applyNumberFormat="1" applyFont="1" applyFill="1" applyBorder="1" applyAlignment="1" applyProtection="1">
      <alignment horizontal="center" vertical="center" wrapText="1"/>
      <protection locked="0"/>
    </xf>
    <xf numFmtId="169" fontId="7" fillId="5" borderId="11" xfId="0" applyNumberFormat="1" applyFont="1" applyFill="1" applyBorder="1" applyAlignment="1" applyProtection="1">
      <alignment horizontal="right" vertical="center" wrapText="1"/>
      <protection locked="0"/>
    </xf>
    <xf numFmtId="168" fontId="7" fillId="5" borderId="11" xfId="0" applyNumberFormat="1" applyFont="1" applyFill="1" applyBorder="1" applyAlignment="1" applyProtection="1">
      <alignment horizontal="right" vertical="center" wrapText="1"/>
      <protection locked="0"/>
    </xf>
    <xf numFmtId="172" fontId="7" fillId="9" borderId="11" xfId="6" applyNumberFormat="1" applyFont="1" applyFill="1" applyBorder="1"/>
    <xf numFmtId="0" fontId="8" fillId="4" borderId="13" xfId="0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horizontal="justify" vertical="center" wrapText="1"/>
      <protection locked="0"/>
    </xf>
    <xf numFmtId="43" fontId="5" fillId="4" borderId="28" xfId="0" applyNumberFormat="1" applyFont="1" applyFill="1" applyBorder="1" applyAlignment="1" applyProtection="1">
      <alignment horizontal="center" vertical="center" wrapText="1"/>
      <protection locked="0"/>
    </xf>
    <xf numFmtId="43" fontId="5" fillId="4" borderId="17" xfId="0" applyNumberFormat="1" applyFont="1" applyFill="1" applyBorder="1" applyAlignment="1" applyProtection="1">
      <alignment horizontal="center" vertical="center" wrapText="1"/>
      <protection locked="0"/>
    </xf>
    <xf numFmtId="169" fontId="5" fillId="4" borderId="16" xfId="6" applyNumberFormat="1" applyFont="1" applyFill="1" applyBorder="1" applyAlignment="1" applyProtection="1">
      <alignment horizontal="right" vertical="center" wrapText="1"/>
      <protection locked="0"/>
    </xf>
    <xf numFmtId="168" fontId="5" fillId="4" borderId="13" xfId="6" applyNumberFormat="1" applyFont="1" applyFill="1" applyBorder="1" applyAlignment="1" applyProtection="1">
      <alignment horizontal="right" vertical="center" wrapText="1"/>
      <protection locked="0"/>
    </xf>
    <xf numFmtId="172" fontId="6" fillId="4" borderId="16" xfId="6" applyNumberFormat="1" applyFont="1" applyFill="1" applyBorder="1"/>
    <xf numFmtId="0" fontId="2" fillId="0" borderId="19" xfId="0" applyFont="1" applyBorder="1" applyAlignment="1">
      <alignment horizontal="justify" vertical="center" wrapText="1"/>
    </xf>
    <xf numFmtId="172" fontId="6" fillId="0" borderId="19" xfId="6" applyNumberFormat="1" applyFont="1" applyBorder="1" applyAlignment="1">
      <alignment vertical="center"/>
    </xf>
    <xf numFmtId="43" fontId="8" fillId="4" borderId="28" xfId="0" applyNumberFormat="1" applyFont="1" applyFill="1" applyBorder="1" applyAlignment="1" applyProtection="1">
      <alignment horizontal="center" vertical="center" wrapText="1"/>
      <protection locked="0"/>
    </xf>
    <xf numFmtId="43" fontId="8" fillId="4" borderId="17" xfId="0" applyNumberFormat="1" applyFont="1" applyFill="1" applyBorder="1" applyAlignment="1" applyProtection="1">
      <alignment horizontal="center" vertical="center" wrapText="1"/>
      <protection locked="0"/>
    </xf>
    <xf numFmtId="169" fontId="8" fillId="4" borderId="16" xfId="6" applyNumberFormat="1" applyFont="1" applyFill="1" applyBorder="1" applyAlignment="1" applyProtection="1">
      <alignment horizontal="right" vertical="center" wrapText="1"/>
      <protection locked="0"/>
    </xf>
    <xf numFmtId="168" fontId="8" fillId="4" borderId="13" xfId="6" applyNumberFormat="1" applyFont="1" applyFill="1" applyBorder="1" applyAlignment="1" applyProtection="1">
      <alignment horizontal="right" vertical="center" wrapText="1"/>
      <protection locked="0"/>
    </xf>
    <xf numFmtId="2" fontId="6" fillId="0" borderId="31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justify" vertical="center"/>
    </xf>
    <xf numFmtId="4" fontId="6" fillId="0" borderId="32" xfId="0" applyNumberFormat="1" applyFont="1" applyBorder="1" applyAlignment="1" applyProtection="1">
      <alignment horizontal="center" vertical="center" wrapText="1"/>
      <protection locked="0"/>
    </xf>
    <xf numFmtId="4" fontId="4" fillId="5" borderId="4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>
      <alignment horizontal="justify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justify" vertical="center" wrapText="1"/>
    </xf>
    <xf numFmtId="4" fontId="2" fillId="2" borderId="30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30" xfId="0" applyNumberFormat="1" applyFont="1" applyBorder="1" applyAlignment="1">
      <alignment horizontal="center" vertical="center" wrapText="1"/>
    </xf>
    <xf numFmtId="169" fontId="6" fillId="0" borderId="14" xfId="6" applyNumberFormat="1" applyFont="1" applyBorder="1" applyAlignment="1">
      <alignment horizontal="right" wrapText="1"/>
    </xf>
    <xf numFmtId="168" fontId="6" fillId="0" borderId="29" xfId="6" applyNumberFormat="1" applyFont="1" applyBorder="1" applyAlignment="1">
      <alignment horizontal="right" wrapText="1"/>
    </xf>
    <xf numFmtId="169" fontId="6" fillId="0" borderId="19" xfId="6" applyNumberFormat="1" applyFont="1" applyBorder="1" applyAlignment="1">
      <alignment horizontal="right" vertical="center" wrapText="1"/>
    </xf>
    <xf numFmtId="168" fontId="6" fillId="0" borderId="31" xfId="6" applyNumberFormat="1" applyFont="1" applyBorder="1" applyAlignment="1">
      <alignment horizontal="right" vertical="center" wrapText="1"/>
    </xf>
    <xf numFmtId="0" fontId="4" fillId="5" borderId="40" xfId="0" applyFont="1" applyFill="1" applyBorder="1"/>
    <xf numFmtId="0" fontId="5" fillId="4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justify" vertical="center" wrapText="1"/>
      <protection locked="0"/>
    </xf>
    <xf numFmtId="2" fontId="6" fillId="0" borderId="31" xfId="0" applyNumberFormat="1" applyFont="1" applyBorder="1" applyAlignment="1">
      <alignment horizontal="center"/>
    </xf>
    <xf numFmtId="4" fontId="2" fillId="0" borderId="14" xfId="0" applyNumberFormat="1" applyFont="1" applyBorder="1" applyAlignment="1">
      <alignment horizontal="justify" vertical="center"/>
    </xf>
    <xf numFmtId="0" fontId="2" fillId="0" borderId="30" xfId="0" applyFont="1" applyBorder="1" applyAlignment="1">
      <alignment horizontal="center" vertical="center"/>
    </xf>
    <xf numFmtId="168" fontId="6" fillId="6" borderId="31" xfId="6" applyNumberFormat="1" applyFont="1" applyFill="1" applyBorder="1" applyAlignment="1" applyProtection="1">
      <alignment horizontal="right" vertical="center" wrapText="1"/>
      <protection locked="0"/>
    </xf>
    <xf numFmtId="0" fontId="2" fillId="2" borderId="19" xfId="0" applyFont="1" applyFill="1" applyBorder="1" applyAlignment="1">
      <alignment horizontal="justify" vertical="center" wrapText="1"/>
    </xf>
    <xf numFmtId="0" fontId="2" fillId="0" borderId="32" xfId="0" applyFont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2" fontId="6" fillId="2" borderId="29" xfId="0" applyNumberFormat="1" applyFont="1" applyFill="1" applyBorder="1" applyAlignment="1">
      <alignment horizontal="center" vertical="center" wrapText="1"/>
    </xf>
    <xf numFmtId="167" fontId="2" fillId="0" borderId="30" xfId="5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4" fontId="7" fillId="5" borderId="4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0" xfId="0" applyFont="1" applyFill="1" applyBorder="1" applyAlignment="1">
      <alignment horizontal="center" vertical="center"/>
    </xf>
    <xf numFmtId="169" fontId="6" fillId="2" borderId="19" xfId="6" applyNumberFormat="1" applyFont="1" applyFill="1" applyBorder="1" applyAlignment="1">
      <alignment horizontal="right" vertical="center"/>
    </xf>
    <xf numFmtId="168" fontId="6" fillId="2" borderId="31" xfId="6" applyNumberFormat="1" applyFont="1" applyFill="1" applyBorder="1" applyAlignment="1">
      <alignment horizontal="right" vertical="center"/>
    </xf>
    <xf numFmtId="0" fontId="7" fillId="5" borderId="40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69" fontId="6" fillId="6" borderId="14" xfId="6" applyNumberFormat="1" applyFont="1" applyFill="1" applyBorder="1" applyAlignment="1">
      <alignment horizontal="right" vertical="center"/>
    </xf>
    <xf numFmtId="168" fontId="6" fillId="0" borderId="29" xfId="6" applyNumberFormat="1" applyFont="1" applyBorder="1" applyAlignment="1">
      <alignment horizontal="right" vertical="center"/>
    </xf>
    <xf numFmtId="169" fontId="6" fillId="0" borderId="14" xfId="6" applyNumberFormat="1" applyFont="1" applyBorder="1" applyAlignment="1">
      <alignment horizontal="right" vertical="center"/>
    </xf>
    <xf numFmtId="0" fontId="6" fillId="0" borderId="31" xfId="0" applyFont="1" applyBorder="1" applyAlignment="1">
      <alignment horizontal="center" vertical="center"/>
    </xf>
    <xf numFmtId="0" fontId="2" fillId="0" borderId="19" xfId="0" applyFont="1" applyBorder="1" applyAlignment="1" applyProtection="1">
      <alignment horizontal="justify" vertical="center" wrapText="1"/>
      <protection locked="0"/>
    </xf>
    <xf numFmtId="4" fontId="2" fillId="0" borderId="32" xfId="0" applyNumberFormat="1" applyFont="1" applyBorder="1" applyAlignment="1">
      <alignment horizontal="center" vertical="center"/>
    </xf>
    <xf numFmtId="169" fontId="6" fillId="6" borderId="19" xfId="6" applyNumberFormat="1" applyFont="1" applyFill="1" applyBorder="1" applyAlignment="1">
      <alignment horizontal="right" vertical="center"/>
    </xf>
    <xf numFmtId="168" fontId="6" fillId="0" borderId="31" xfId="6" applyNumberFormat="1" applyFont="1" applyBorder="1" applyAlignment="1">
      <alignment horizontal="right" vertical="center"/>
    </xf>
    <xf numFmtId="4" fontId="8" fillId="5" borderId="40" xfId="0" applyNumberFormat="1" applyFont="1" applyFill="1" applyBorder="1" applyAlignment="1">
      <alignment horizontal="center" vertical="center"/>
    </xf>
    <xf numFmtId="4" fontId="4" fillId="0" borderId="41" xfId="0" applyNumberFormat="1" applyFont="1" applyBorder="1" applyAlignment="1" applyProtection="1">
      <alignment horizontal="center" vertical="center" wrapText="1"/>
      <protection locked="0"/>
    </xf>
    <xf numFmtId="169" fontId="5" fillId="0" borderId="14" xfId="6" applyNumberFormat="1" applyFont="1" applyBorder="1" applyAlignment="1" applyProtection="1">
      <alignment horizontal="right" vertical="center" wrapText="1"/>
      <protection locked="0"/>
    </xf>
    <xf numFmtId="168" fontId="5" fillId="0" borderId="29" xfId="6" applyNumberFormat="1" applyFont="1" applyBorder="1" applyAlignment="1" applyProtection="1">
      <alignment horizontal="right" vertical="center" wrapText="1"/>
      <protection locked="0"/>
    </xf>
    <xf numFmtId="0" fontId="2" fillId="2" borderId="14" xfId="0" applyFont="1" applyFill="1" applyBorder="1" applyAlignment="1">
      <alignment horizontal="left" vertical="center" wrapText="1"/>
    </xf>
    <xf numFmtId="169" fontId="4" fillId="2" borderId="14" xfId="6" applyNumberFormat="1" applyFont="1" applyFill="1" applyBorder="1" applyAlignment="1" applyProtection="1">
      <alignment horizontal="right" vertical="center" wrapText="1"/>
      <protection locked="0"/>
    </xf>
    <xf numFmtId="168" fontId="4" fillId="2" borderId="29" xfId="6" applyNumberFormat="1" applyFont="1" applyFill="1" applyBorder="1" applyAlignment="1" applyProtection="1">
      <alignment horizontal="right" vertical="center" wrapText="1"/>
      <protection locked="0"/>
    </xf>
    <xf numFmtId="4" fontId="4" fillId="0" borderId="47" xfId="0" applyNumberFormat="1" applyFont="1" applyBorder="1" applyAlignment="1" applyProtection="1">
      <alignment horizontal="center" vertical="center" wrapText="1"/>
      <protection locked="0"/>
    </xf>
    <xf numFmtId="169" fontId="4" fillId="2" borderId="15" xfId="6" applyNumberFormat="1" applyFont="1" applyFill="1" applyBorder="1" applyAlignment="1" applyProtection="1">
      <alignment horizontal="right" vertical="center" wrapText="1"/>
      <protection locked="0"/>
    </xf>
    <xf numFmtId="168" fontId="4" fillId="2" borderId="4" xfId="6" applyNumberFormat="1" applyFont="1" applyFill="1" applyBorder="1" applyAlignment="1" applyProtection="1">
      <alignment horizontal="right" vertical="center" wrapText="1"/>
      <protection locked="0"/>
    </xf>
    <xf numFmtId="0" fontId="7" fillId="5" borderId="40" xfId="0" applyFont="1" applyFill="1" applyBorder="1"/>
    <xf numFmtId="169" fontId="7" fillId="5" borderId="11" xfId="0" applyNumberFormat="1" applyFont="1" applyFill="1" applyBorder="1" applyAlignment="1">
      <alignment horizontal="right"/>
    </xf>
    <xf numFmtId="168" fontId="7" fillId="5" borderId="11" xfId="0" applyNumberFormat="1" applyFont="1" applyFill="1" applyBorder="1" applyAlignment="1">
      <alignment horizontal="right"/>
    </xf>
    <xf numFmtId="0" fontId="4" fillId="4" borderId="13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169" fontId="4" fillId="4" borderId="16" xfId="0" applyNumberFormat="1" applyFont="1" applyFill="1" applyBorder="1" applyAlignment="1">
      <alignment horizontal="right"/>
    </xf>
    <xf numFmtId="168" fontId="4" fillId="4" borderId="13" xfId="0" applyNumberFormat="1" applyFont="1" applyFill="1" applyBorder="1" applyAlignment="1">
      <alignment horizontal="right"/>
    </xf>
    <xf numFmtId="172" fontId="0" fillId="4" borderId="16" xfId="6" applyNumberFormat="1" applyFont="1" applyFill="1" applyBorder="1"/>
    <xf numFmtId="9" fontId="4" fillId="0" borderId="41" xfId="7" applyFont="1" applyBorder="1" applyAlignment="1">
      <alignment horizontal="center" vertical="center"/>
    </xf>
    <xf numFmtId="169" fontId="4" fillId="0" borderId="14" xfId="0" applyNumberFormat="1" applyFont="1" applyBorder="1" applyAlignment="1">
      <alignment horizontal="right" vertical="center"/>
    </xf>
    <xf numFmtId="168" fontId="4" fillId="0" borderId="29" xfId="0" applyNumberFormat="1" applyFont="1" applyBorder="1" applyAlignment="1">
      <alignment horizontal="right" vertical="center"/>
    </xf>
    <xf numFmtId="172" fontId="4" fillId="0" borderId="14" xfId="6" applyNumberFormat="1" applyFont="1" applyBorder="1"/>
    <xf numFmtId="9" fontId="4" fillId="0" borderId="47" xfId="7" applyFont="1" applyBorder="1" applyAlignment="1">
      <alignment horizontal="center" vertical="center"/>
    </xf>
    <xf numFmtId="169" fontId="4" fillId="0" borderId="19" xfId="0" applyNumberFormat="1" applyFont="1" applyBorder="1" applyAlignment="1">
      <alignment horizontal="right" vertical="center"/>
    </xf>
    <xf numFmtId="168" fontId="4" fillId="0" borderId="31" xfId="0" applyNumberFormat="1" applyFont="1" applyBorder="1" applyAlignment="1">
      <alignment horizontal="right" vertical="center"/>
    </xf>
    <xf numFmtId="0" fontId="7" fillId="4" borderId="8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 vertical="center" wrapText="1"/>
    </xf>
    <xf numFmtId="0" fontId="7" fillId="4" borderId="26" xfId="0" applyFont="1" applyFill="1" applyBorder="1"/>
    <xf numFmtId="0" fontId="7" fillId="4" borderId="40" xfId="0" applyFont="1" applyFill="1" applyBorder="1"/>
    <xf numFmtId="169" fontId="7" fillId="4" borderId="11" xfId="0" applyNumberFormat="1" applyFont="1" applyFill="1" applyBorder="1" applyAlignment="1">
      <alignment horizontal="right"/>
    </xf>
    <xf numFmtId="168" fontId="7" fillId="4" borderId="11" xfId="0" applyNumberFormat="1" applyFont="1" applyFill="1" applyBorder="1" applyAlignment="1">
      <alignment horizontal="right"/>
    </xf>
    <xf numFmtId="172" fontId="15" fillId="9" borderId="11" xfId="6" applyNumberFormat="1" applyFont="1" applyFill="1" applyBorder="1"/>
    <xf numFmtId="169" fontId="11" fillId="8" borderId="22" xfId="0" applyNumberFormat="1" applyFont="1" applyFill="1" applyBorder="1" applyAlignment="1">
      <alignment vertical="center"/>
    </xf>
    <xf numFmtId="169" fontId="11" fillId="0" borderId="22" xfId="0" applyNumberFormat="1" applyFont="1" applyBorder="1"/>
    <xf numFmtId="169" fontId="11" fillId="8" borderId="22" xfId="0" applyNumberFormat="1" applyFont="1" applyFill="1" applyBorder="1"/>
    <xf numFmtId="169" fontId="11" fillId="9" borderId="22" xfId="0" applyNumberFormat="1" applyFont="1" applyFill="1" applyBorder="1"/>
    <xf numFmtId="0" fontId="14" fillId="8" borderId="45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vertical="center"/>
    </xf>
    <xf numFmtId="173" fontId="11" fillId="9" borderId="22" xfId="0" applyNumberFormat="1" applyFont="1" applyFill="1" applyBorder="1"/>
    <xf numFmtId="168" fontId="11" fillId="9" borderId="22" xfId="0" applyNumberFormat="1" applyFont="1" applyFill="1" applyBorder="1"/>
    <xf numFmtId="168" fontId="11" fillId="8" borderId="22" xfId="0" applyNumberFormat="1" applyFont="1" applyFill="1" applyBorder="1"/>
    <xf numFmtId="8" fontId="11" fillId="12" borderId="0" xfId="0" applyNumberFormat="1" applyFont="1" applyFill="1"/>
    <xf numFmtId="8" fontId="13" fillId="8" borderId="22" xfId="0" applyNumberFormat="1" applyFont="1" applyFill="1" applyBorder="1" applyAlignment="1">
      <alignment horizontal="center" vertical="center"/>
    </xf>
    <xf numFmtId="8" fontId="10" fillId="8" borderId="22" xfId="0" applyNumberFormat="1" applyFont="1" applyFill="1" applyBorder="1" applyAlignment="1" applyProtection="1">
      <alignment horizontal="center" vertical="center" wrapText="1"/>
      <protection locked="0"/>
    </xf>
    <xf numFmtId="8" fontId="10" fillId="12" borderId="22" xfId="0" applyNumberFormat="1" applyFont="1" applyFill="1" applyBorder="1" applyAlignment="1" applyProtection="1">
      <alignment horizontal="center" vertical="center" wrapText="1"/>
      <protection locked="0"/>
    </xf>
    <xf numFmtId="8" fontId="11" fillId="0" borderId="22" xfId="0" applyNumberFormat="1" applyFont="1" applyBorder="1" applyAlignment="1">
      <alignment vertical="center"/>
    </xf>
    <xf numFmtId="8" fontId="11" fillId="0" borderId="22" xfId="0" applyNumberFormat="1" applyFont="1" applyBorder="1"/>
    <xf numFmtId="8" fontId="11" fillId="12" borderId="22" xfId="0" applyNumberFormat="1" applyFont="1" applyFill="1" applyBorder="1"/>
    <xf numFmtId="8" fontId="11" fillId="8" borderId="22" xfId="0" applyNumberFormat="1" applyFont="1" applyFill="1" applyBorder="1" applyAlignment="1">
      <alignment vertical="center"/>
    </xf>
    <xf numFmtId="8" fontId="11" fillId="8" borderId="22" xfId="0" applyNumberFormat="1" applyFont="1" applyFill="1" applyBorder="1"/>
    <xf numFmtId="8" fontId="14" fillId="9" borderId="22" xfId="0" applyNumberFormat="1" applyFont="1" applyFill="1" applyBorder="1" applyAlignment="1">
      <alignment vertical="center"/>
    </xf>
    <xf numFmtId="8" fontId="11" fillId="9" borderId="22" xfId="0" applyNumberFormat="1" applyFont="1" applyFill="1" applyBorder="1"/>
    <xf numFmtId="8" fontId="11" fillId="0" borderId="0" xfId="0" applyNumberFormat="1" applyFont="1" applyAlignment="1">
      <alignment vertical="center"/>
    </xf>
    <xf numFmtId="0" fontId="10" fillId="12" borderId="22" xfId="0" applyFont="1" applyFill="1" applyBorder="1" applyAlignment="1" applyProtection="1">
      <alignment horizontal="center" vertical="center" wrapText="1"/>
      <protection locked="0"/>
    </xf>
    <xf numFmtId="169" fontId="11" fillId="12" borderId="22" xfId="0" applyNumberFormat="1" applyFont="1" applyFill="1" applyBorder="1"/>
    <xf numFmtId="168" fontId="11" fillId="12" borderId="22" xfId="0" applyNumberFormat="1" applyFont="1" applyFill="1" applyBorder="1"/>
    <xf numFmtId="6" fontId="11" fillId="12" borderId="0" xfId="0" applyNumberFormat="1" applyFont="1" applyFill="1"/>
    <xf numFmtId="0" fontId="11" fillId="12" borderId="0" xfId="0" applyFont="1" applyFill="1"/>
    <xf numFmtId="168" fontId="0" fillId="0" borderId="0" xfId="0" applyNumberFormat="1"/>
    <xf numFmtId="169" fontId="9" fillId="0" borderId="22" xfId="0" applyNumberFormat="1" applyFont="1" applyBorder="1" applyAlignment="1">
      <alignment horizontal="right" vertical="center" wrapText="1"/>
    </xf>
    <xf numFmtId="170" fontId="9" fillId="0" borderId="22" xfId="0" applyNumberFormat="1" applyFont="1" applyBorder="1" applyAlignment="1">
      <alignment horizontal="center" vertical="center"/>
    </xf>
    <xf numFmtId="0" fontId="0" fillId="0" borderId="22" xfId="0" applyBorder="1"/>
    <xf numFmtId="0" fontId="9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justify" vertical="center"/>
    </xf>
    <xf numFmtId="168" fontId="9" fillId="3" borderId="22" xfId="0" applyNumberFormat="1" applyFont="1" applyFill="1" applyBorder="1" applyAlignment="1">
      <alignment horizontal="center" vertical="center"/>
    </xf>
    <xf numFmtId="169" fontId="9" fillId="3" borderId="22" xfId="0" applyNumberFormat="1" applyFont="1" applyFill="1" applyBorder="1" applyAlignment="1">
      <alignment horizontal="justify" vertical="center" wrapText="1"/>
    </xf>
    <xf numFmtId="0" fontId="9" fillId="6" borderId="22" xfId="0" applyFont="1" applyFill="1" applyBorder="1" applyAlignment="1">
      <alignment horizontal="justify" vertical="center"/>
    </xf>
    <xf numFmtId="169" fontId="9" fillId="0" borderId="22" xfId="0" applyNumberFormat="1" applyFont="1" applyBorder="1" applyAlignment="1">
      <alignment horizontal="center" vertical="center" wrapText="1"/>
    </xf>
    <xf numFmtId="0" fontId="9" fillId="13" borderId="22" xfId="0" applyFont="1" applyFill="1" applyBorder="1" applyAlignment="1">
      <alignment horizontal="center" vertical="center"/>
    </xf>
    <xf numFmtId="0" fontId="0" fillId="13" borderId="22" xfId="0" applyFill="1" applyBorder="1"/>
    <xf numFmtId="168" fontId="9" fillId="13" borderId="22" xfId="0" applyNumberFormat="1" applyFont="1" applyFill="1" applyBorder="1" applyAlignment="1">
      <alignment horizontal="center" vertical="center"/>
    </xf>
    <xf numFmtId="169" fontId="9" fillId="13" borderId="22" xfId="0" applyNumberFormat="1" applyFont="1" applyFill="1" applyBorder="1" applyAlignment="1">
      <alignment horizontal="justify" vertical="center" wrapText="1"/>
    </xf>
    <xf numFmtId="169" fontId="9" fillId="13" borderId="22" xfId="0" applyNumberFormat="1" applyFont="1" applyFill="1" applyBorder="1" applyAlignment="1">
      <alignment horizontal="right" vertical="center" wrapText="1"/>
    </xf>
    <xf numFmtId="170" fontId="9" fillId="13" borderId="22" xfId="0" applyNumberFormat="1" applyFont="1" applyFill="1" applyBorder="1" applyAlignment="1">
      <alignment horizontal="center" vertical="center"/>
    </xf>
    <xf numFmtId="166" fontId="19" fillId="9" borderId="1" xfId="12" applyFont="1" applyFill="1" applyBorder="1" applyAlignment="1">
      <alignment horizontal="center" vertical="center" wrapText="1"/>
    </xf>
    <xf numFmtId="166" fontId="19" fillId="9" borderId="4" xfId="12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15" fillId="6" borderId="43" xfId="0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0" fontId="15" fillId="6" borderId="42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49" fontId="18" fillId="5" borderId="1" xfId="0" applyNumberFormat="1" applyFont="1" applyFill="1" applyBorder="1" applyAlignment="1">
      <alignment horizontal="center" vertical="center"/>
    </xf>
    <xf numFmtId="49" fontId="18" fillId="5" borderId="5" xfId="0" applyNumberFormat="1" applyFont="1" applyFill="1" applyBorder="1" applyAlignment="1">
      <alignment horizontal="center" vertical="center"/>
    </xf>
    <xf numFmtId="0" fontId="18" fillId="5" borderId="44" xfId="0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9" fillId="11" borderId="5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11" borderId="6" xfId="0" applyFont="1" applyFill="1" applyBorder="1" applyAlignment="1">
      <alignment horizontal="center" vertical="center" wrapText="1"/>
    </xf>
    <xf numFmtId="0" fontId="18" fillId="11" borderId="7" xfId="0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left" vertical="center" wrapText="1"/>
    </xf>
    <xf numFmtId="0" fontId="15" fillId="6" borderId="43" xfId="0" applyFont="1" applyFill="1" applyBorder="1" applyAlignment="1">
      <alignment horizontal="left" vertical="center" wrapText="1"/>
    </xf>
    <xf numFmtId="0" fontId="15" fillId="6" borderId="25" xfId="0" applyFont="1" applyFill="1" applyBorder="1" applyAlignment="1">
      <alignment horizontal="left" vertical="center" wrapText="1"/>
    </xf>
    <xf numFmtId="0" fontId="15" fillId="6" borderId="42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7" fillId="0" borderId="7" xfId="0" applyFont="1" applyBorder="1" applyAlignment="1">
      <alignment horizontal="center" wrapText="1"/>
    </xf>
    <xf numFmtId="0" fontId="7" fillId="5" borderId="4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44" fontId="7" fillId="9" borderId="44" xfId="6" applyFont="1" applyFill="1" applyBorder="1" applyAlignment="1">
      <alignment horizontal="center" vertical="center" wrapText="1"/>
    </xf>
    <xf numFmtId="44" fontId="7" fillId="9" borderId="15" xfId="6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9" borderId="22" xfId="0" applyFont="1" applyFill="1" applyBorder="1" applyAlignment="1">
      <alignment horizontal="center" vertical="center" wrapText="1"/>
    </xf>
    <xf numFmtId="169" fontId="22" fillId="9" borderId="18" xfId="0" applyNumberFormat="1" applyFont="1" applyFill="1" applyBorder="1" applyAlignment="1">
      <alignment horizontal="center" vertical="center"/>
    </xf>
    <xf numFmtId="169" fontId="22" fillId="9" borderId="30" xfId="0" applyNumberFormat="1" applyFont="1" applyFill="1" applyBorder="1" applyAlignment="1">
      <alignment horizontal="center" vertical="center"/>
    </xf>
    <xf numFmtId="0" fontId="14" fillId="9" borderId="22" xfId="0" applyFont="1" applyFill="1" applyBorder="1" applyAlignment="1">
      <alignment horizontal="center" vertical="center"/>
    </xf>
  </cellXfs>
  <cellStyles count="15">
    <cellStyle name="Millares 2" xfId="5" xr:uid="{00000000-0005-0000-0000-000001000000}"/>
    <cellStyle name="Millares 3" xfId="9" xr:uid="{00000000-0005-0000-0000-000002000000}"/>
    <cellStyle name="Millares 4" xfId="2" xr:uid="{00000000-0005-0000-0000-000003000000}"/>
    <cellStyle name="Millares 5" xfId="11" xr:uid="{00000000-0005-0000-0000-000004000000}"/>
    <cellStyle name="Moneda" xfId="6" builtinId="4"/>
    <cellStyle name="Moneda 2" xfId="8" xr:uid="{00000000-0005-0000-0000-000007000000}"/>
    <cellStyle name="Moneda 3" xfId="4" xr:uid="{00000000-0005-0000-0000-000008000000}"/>
    <cellStyle name="Moneda 4" xfId="10" xr:uid="{00000000-0005-0000-0000-000009000000}"/>
    <cellStyle name="Moneda 4 2" xfId="12" xr:uid="{2A519304-FFB7-204B-8561-2CE28333BFBF}"/>
    <cellStyle name="Normal" xfId="0" builtinId="0"/>
    <cellStyle name="Normal 2" xfId="1" xr:uid="{00000000-0005-0000-0000-00000B000000}"/>
    <cellStyle name="Normal 3" xfId="14" xr:uid="{81E24DA9-49FC-4CB9-8D32-D096EC6E8648}"/>
    <cellStyle name="Normal 6" xfId="3" xr:uid="{00000000-0005-0000-0000-00000C000000}"/>
    <cellStyle name="Porcentaje" xfId="7" builtinId="5"/>
    <cellStyle name="Porcentaje 3" xfId="13" xr:uid="{C5DE84EE-93DE-F64E-BA5F-9BE8945DBDB9}"/>
  </cellStyles>
  <dxfs count="1">
    <dxf>
      <fill>
        <patternFill patternType="solid">
          <fgColor rgb="FFF2DCDB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78C0F-C6D1-9C45-A026-F0A40F6D61BD}">
  <dimension ref="A1:K45"/>
  <sheetViews>
    <sheetView workbookViewId="0">
      <selection activeCell="K40" sqref="K40:K43"/>
    </sheetView>
  </sheetViews>
  <sheetFormatPr baseColWidth="10" defaultColWidth="10.85546875" defaultRowHeight="15" x14ac:dyDescent="0.25"/>
  <cols>
    <col min="1" max="1" width="6.42578125" style="1" customWidth="1"/>
    <col min="2" max="2" width="56.140625" style="60" customWidth="1"/>
    <col min="3" max="3" width="9.28515625" customWidth="1"/>
    <col min="4" max="4" width="10.42578125" customWidth="1"/>
    <col min="5" max="5" width="15" style="28" customWidth="1"/>
    <col min="6" max="6" width="16.85546875" customWidth="1"/>
    <col min="7" max="7" width="11.42578125" customWidth="1"/>
    <col min="8" max="8" width="17.7109375" customWidth="1"/>
    <col min="9" max="9" width="14.7109375" customWidth="1"/>
    <col min="10" max="10" width="18" customWidth="1"/>
    <col min="11" max="11" width="20.42578125" customWidth="1"/>
  </cols>
  <sheetData>
    <row r="1" spans="1:11" x14ac:dyDescent="0.25">
      <c r="A1" s="398" t="s">
        <v>272</v>
      </c>
      <c r="B1" s="399"/>
      <c r="C1" s="402" t="s">
        <v>273</v>
      </c>
      <c r="D1" s="403"/>
      <c r="E1" s="403"/>
      <c r="F1" s="403"/>
      <c r="G1" s="403"/>
      <c r="H1" s="403"/>
      <c r="I1" s="403"/>
      <c r="J1" s="403"/>
      <c r="K1" s="404"/>
    </row>
    <row r="2" spans="1:11" ht="15.75" thickBot="1" x14ac:dyDescent="0.3">
      <c r="A2" s="400"/>
      <c r="B2" s="401"/>
      <c r="C2" s="405"/>
      <c r="D2" s="406"/>
      <c r="E2" s="406"/>
      <c r="F2" s="406"/>
      <c r="G2" s="406"/>
      <c r="H2" s="406"/>
      <c r="I2" s="406"/>
      <c r="J2" s="406"/>
      <c r="K2" s="407"/>
    </row>
    <row r="3" spans="1:11" ht="15.75" thickBot="1" x14ac:dyDescent="0.3">
      <c r="A3" s="408" t="s">
        <v>274</v>
      </c>
      <c r="B3" s="410" t="s">
        <v>1</v>
      </c>
      <c r="C3" s="412" t="s">
        <v>275</v>
      </c>
      <c r="D3" s="414" t="s">
        <v>276</v>
      </c>
      <c r="E3" s="416" t="s">
        <v>277</v>
      </c>
      <c r="F3" s="417"/>
      <c r="G3" s="418" t="s">
        <v>278</v>
      </c>
      <c r="H3" s="419"/>
      <c r="I3" s="420" t="s">
        <v>279</v>
      </c>
      <c r="J3" s="421"/>
      <c r="K3" s="396" t="s">
        <v>280</v>
      </c>
    </row>
    <row r="4" spans="1:11" ht="26.25" thickBot="1" x14ac:dyDescent="0.3">
      <c r="A4" s="409"/>
      <c r="B4" s="411"/>
      <c r="C4" s="413"/>
      <c r="D4" s="415"/>
      <c r="E4" s="63" t="s">
        <v>281</v>
      </c>
      <c r="F4" s="64" t="s">
        <v>282</v>
      </c>
      <c r="G4" s="65" t="s">
        <v>281</v>
      </c>
      <c r="H4" s="66" t="s">
        <v>282</v>
      </c>
      <c r="I4" s="63" t="s">
        <v>281</v>
      </c>
      <c r="J4" s="64" t="s">
        <v>282</v>
      </c>
      <c r="K4" s="397"/>
    </row>
    <row r="5" spans="1:11" ht="15.75" thickBot="1" x14ac:dyDescent="0.3">
      <c r="A5" s="67"/>
      <c r="B5" s="68" t="s">
        <v>283</v>
      </c>
      <c r="C5" s="69"/>
      <c r="D5" s="70"/>
      <c r="E5" s="71"/>
      <c r="F5" s="72"/>
      <c r="G5" s="73"/>
      <c r="H5" s="74"/>
      <c r="I5" s="71"/>
      <c r="J5" s="72"/>
      <c r="K5" s="75"/>
    </row>
    <row r="6" spans="1:11" ht="15.75" thickBot="1" x14ac:dyDescent="0.3">
      <c r="A6" s="76" t="s">
        <v>284</v>
      </c>
      <c r="B6" s="77" t="s">
        <v>285</v>
      </c>
      <c r="C6" s="78"/>
      <c r="D6" s="79"/>
      <c r="E6" s="80"/>
      <c r="F6" s="81"/>
      <c r="G6" s="82"/>
      <c r="H6" s="83"/>
      <c r="I6" s="80"/>
      <c r="J6" s="81"/>
      <c r="K6" s="84"/>
    </row>
    <row r="7" spans="1:11" x14ac:dyDescent="0.25">
      <c r="A7" s="85" t="s">
        <v>286</v>
      </c>
      <c r="B7" s="86" t="s">
        <v>95</v>
      </c>
      <c r="C7" s="87" t="s">
        <v>4</v>
      </c>
      <c r="D7" s="88">
        <v>2</v>
      </c>
      <c r="E7" s="89">
        <v>50000</v>
      </c>
      <c r="F7" s="90">
        <f>D7*E7</f>
        <v>100000</v>
      </c>
      <c r="G7" s="91">
        <v>300000</v>
      </c>
      <c r="H7" s="92">
        <f>D7*G7</f>
        <v>600000</v>
      </c>
      <c r="I7" s="89">
        <v>1237600</v>
      </c>
      <c r="J7" s="93">
        <f>I7*D7</f>
        <v>2475200</v>
      </c>
      <c r="K7" s="94">
        <v>579200</v>
      </c>
    </row>
    <row r="8" spans="1:11" ht="25.5" x14ac:dyDescent="0.25">
      <c r="A8" s="95" t="s">
        <v>287</v>
      </c>
      <c r="B8" s="96" t="s">
        <v>288</v>
      </c>
      <c r="C8" s="97" t="s">
        <v>4</v>
      </c>
      <c r="D8" s="98">
        <v>2</v>
      </c>
      <c r="E8" s="99">
        <v>800000</v>
      </c>
      <c r="F8" s="100">
        <f t="shared" ref="F8:F24" si="0">D8*E8</f>
        <v>1600000</v>
      </c>
      <c r="G8" s="101">
        <v>430000</v>
      </c>
      <c r="H8" s="102">
        <f t="shared" ref="H8:H15" si="1">D8*G8</f>
        <v>860000</v>
      </c>
      <c r="I8" s="99">
        <v>2041402</v>
      </c>
      <c r="J8" s="103">
        <f t="shared" ref="J8:J10" si="2">I8*D8</f>
        <v>4082804</v>
      </c>
      <c r="K8" s="104">
        <v>1520467</v>
      </c>
    </row>
    <row r="9" spans="1:11" x14ac:dyDescent="0.25">
      <c r="A9" s="95" t="s">
        <v>289</v>
      </c>
      <c r="B9" s="96" t="s">
        <v>96</v>
      </c>
      <c r="C9" s="97" t="s">
        <v>3</v>
      </c>
      <c r="D9" s="98">
        <v>8</v>
      </c>
      <c r="E9" s="99">
        <v>300000</v>
      </c>
      <c r="F9" s="103">
        <f t="shared" si="0"/>
        <v>2400000</v>
      </c>
      <c r="G9" s="101">
        <v>47000</v>
      </c>
      <c r="H9" s="102">
        <f t="shared" si="1"/>
        <v>376000</v>
      </c>
      <c r="I9" s="99">
        <v>70174</v>
      </c>
      <c r="J9" s="100">
        <f t="shared" si="2"/>
        <v>561392</v>
      </c>
      <c r="K9" s="104">
        <v>744232</v>
      </c>
    </row>
    <row r="10" spans="1:11" ht="26.25" thickBot="1" x14ac:dyDescent="0.3">
      <c r="A10" s="105" t="s">
        <v>290</v>
      </c>
      <c r="B10" s="106" t="s">
        <v>291</v>
      </c>
      <c r="C10" s="107" t="s">
        <v>3</v>
      </c>
      <c r="D10" s="108">
        <v>3.8</v>
      </c>
      <c r="E10" s="109">
        <v>750000</v>
      </c>
      <c r="F10" s="110">
        <f t="shared" si="0"/>
        <v>2850000</v>
      </c>
      <c r="G10" s="111">
        <v>350000</v>
      </c>
      <c r="H10" s="112">
        <f t="shared" si="1"/>
        <v>1330000</v>
      </c>
      <c r="I10" s="109">
        <v>572869</v>
      </c>
      <c r="J10" s="113">
        <f t="shared" si="2"/>
        <v>2176902.1999999997</v>
      </c>
      <c r="K10" s="104">
        <v>1724484</v>
      </c>
    </row>
    <row r="11" spans="1:11" ht="15.75" thickBot="1" x14ac:dyDescent="0.3">
      <c r="A11" s="114"/>
      <c r="B11" s="115" t="s">
        <v>292</v>
      </c>
      <c r="C11" s="116"/>
      <c r="D11" s="117"/>
      <c r="E11" s="118"/>
      <c r="F11" s="119">
        <f>SUM(F7:F10)</f>
        <v>6950000</v>
      </c>
      <c r="G11" s="120"/>
      <c r="H11" s="121">
        <f>SUM(H7:H10)</f>
        <v>3166000</v>
      </c>
      <c r="I11" s="122"/>
      <c r="J11" s="119">
        <f>SUM(J7:J10)</f>
        <v>9296298.1999999993</v>
      </c>
      <c r="K11" s="123">
        <f>SUM(K7:K10)</f>
        <v>4568383</v>
      </c>
    </row>
    <row r="12" spans="1:11" x14ac:dyDescent="0.25">
      <c r="A12" s="124" t="s">
        <v>293</v>
      </c>
      <c r="B12" s="125" t="s">
        <v>294</v>
      </c>
      <c r="C12" s="126"/>
      <c r="D12" s="127"/>
      <c r="E12" s="128"/>
      <c r="F12" s="129"/>
      <c r="G12" s="130"/>
      <c r="H12" s="131"/>
      <c r="I12" s="128"/>
      <c r="J12" s="129"/>
      <c r="K12" s="132"/>
    </row>
    <row r="13" spans="1:11" x14ac:dyDescent="0.25">
      <c r="A13" s="133" t="s">
        <v>295</v>
      </c>
      <c r="B13" s="134" t="s">
        <v>28</v>
      </c>
      <c r="C13" s="97" t="s">
        <v>3</v>
      </c>
      <c r="D13" s="98">
        <v>130</v>
      </c>
      <c r="E13" s="99">
        <v>35500</v>
      </c>
      <c r="F13" s="100">
        <f t="shared" si="0"/>
        <v>4615000</v>
      </c>
      <c r="G13" s="101">
        <v>35000</v>
      </c>
      <c r="H13" s="102">
        <f t="shared" si="1"/>
        <v>4550000</v>
      </c>
      <c r="I13" s="99">
        <v>43920</v>
      </c>
      <c r="J13" s="103">
        <f>I13*D13</f>
        <v>5709600</v>
      </c>
      <c r="K13" s="104">
        <v>4754100</v>
      </c>
    </row>
    <row r="14" spans="1:11" x14ac:dyDescent="0.25">
      <c r="A14" s="133" t="s">
        <v>296</v>
      </c>
      <c r="B14" s="134" t="s">
        <v>297</v>
      </c>
      <c r="C14" s="97" t="s">
        <v>3</v>
      </c>
      <c r="D14" s="98">
        <v>130</v>
      </c>
      <c r="E14" s="99">
        <v>165900</v>
      </c>
      <c r="F14" s="100">
        <f t="shared" si="0"/>
        <v>21567000</v>
      </c>
      <c r="G14" s="101">
        <v>140000</v>
      </c>
      <c r="H14" s="102">
        <f t="shared" si="1"/>
        <v>18200000</v>
      </c>
      <c r="I14" s="99">
        <v>168927</v>
      </c>
      <c r="J14" s="100">
        <f t="shared" ref="J14:J15" si="3">I14*D14</f>
        <v>21960510</v>
      </c>
      <c r="K14" s="104">
        <f t="shared" ref="K14:K15" si="4">(F14+H14+J14)/3</f>
        <v>20575836.666666668</v>
      </c>
    </row>
    <row r="15" spans="1:11" ht="15.75" thickBot="1" x14ac:dyDescent="0.3">
      <c r="A15" s="105" t="s">
        <v>298</v>
      </c>
      <c r="B15" s="106" t="s">
        <v>102</v>
      </c>
      <c r="C15" s="107" t="s">
        <v>5</v>
      </c>
      <c r="D15" s="108">
        <v>60</v>
      </c>
      <c r="E15" s="109">
        <v>25600</v>
      </c>
      <c r="F15" s="113">
        <f t="shared" si="0"/>
        <v>1536000</v>
      </c>
      <c r="G15" s="111">
        <v>18000</v>
      </c>
      <c r="H15" s="112">
        <f t="shared" si="1"/>
        <v>1080000</v>
      </c>
      <c r="I15" s="109">
        <v>15311</v>
      </c>
      <c r="J15" s="113">
        <f t="shared" si="3"/>
        <v>918660</v>
      </c>
      <c r="K15" s="104">
        <f t="shared" si="4"/>
        <v>1178220</v>
      </c>
    </row>
    <row r="16" spans="1:11" ht="15.75" thickBot="1" x14ac:dyDescent="0.3">
      <c r="A16" s="135"/>
      <c r="B16" s="115" t="s">
        <v>299</v>
      </c>
      <c r="C16" s="116"/>
      <c r="D16" s="117"/>
      <c r="E16" s="118"/>
      <c r="F16" s="119">
        <f>SUM(F13:F15)</f>
        <v>27718000</v>
      </c>
      <c r="G16" s="120"/>
      <c r="H16" s="121">
        <f>SUM(H13:H15)</f>
        <v>23830000</v>
      </c>
      <c r="I16" s="122"/>
      <c r="J16" s="119">
        <f>SUM(J13:J15)</f>
        <v>28588770</v>
      </c>
      <c r="K16" s="123">
        <f>SUM(K13:K15)</f>
        <v>26508156.666666668</v>
      </c>
    </row>
    <row r="17" spans="1:11" ht="15.75" thickBot="1" x14ac:dyDescent="0.3">
      <c r="A17" s="136" t="s">
        <v>300</v>
      </c>
      <c r="B17" s="137" t="s">
        <v>301</v>
      </c>
      <c r="C17" s="138"/>
      <c r="D17" s="139"/>
      <c r="E17" s="140"/>
      <c r="F17" s="141"/>
      <c r="G17" s="142"/>
      <c r="H17" s="143"/>
      <c r="I17" s="140"/>
      <c r="J17" s="141"/>
      <c r="K17" s="144"/>
    </row>
    <row r="18" spans="1:11" x14ac:dyDescent="0.25">
      <c r="A18" s="85" t="s">
        <v>302</v>
      </c>
      <c r="B18" s="145" t="s">
        <v>303</v>
      </c>
      <c r="C18" s="87" t="s">
        <v>3</v>
      </c>
      <c r="D18" s="88">
        <v>350</v>
      </c>
      <c r="E18" s="89">
        <v>35600</v>
      </c>
      <c r="F18" s="93">
        <f t="shared" si="0"/>
        <v>12460000</v>
      </c>
      <c r="G18" s="91">
        <v>21875</v>
      </c>
      <c r="H18" s="92">
        <f t="shared" ref="H18:H20" si="5">D18*G18</f>
        <v>7656250</v>
      </c>
      <c r="I18" s="89">
        <v>28070</v>
      </c>
      <c r="J18" s="90">
        <f>I18*D18</f>
        <v>9824500</v>
      </c>
      <c r="K18" s="94">
        <v>8818250</v>
      </c>
    </row>
    <row r="19" spans="1:11" x14ac:dyDescent="0.25">
      <c r="A19" s="95" t="s">
        <v>304</v>
      </c>
      <c r="B19" s="134" t="s">
        <v>305</v>
      </c>
      <c r="C19" s="97" t="s">
        <v>3</v>
      </c>
      <c r="D19" s="98">
        <v>180</v>
      </c>
      <c r="E19" s="99">
        <v>36900</v>
      </c>
      <c r="F19" s="100">
        <f t="shared" si="0"/>
        <v>6642000</v>
      </c>
      <c r="G19" s="101">
        <v>21000</v>
      </c>
      <c r="H19" s="102">
        <f t="shared" si="5"/>
        <v>3780000</v>
      </c>
      <c r="I19" s="99">
        <v>51419</v>
      </c>
      <c r="J19" s="103">
        <f t="shared" ref="J19:J20" si="6">I19*D19</f>
        <v>9255420</v>
      </c>
      <c r="K19" s="104">
        <v>5169570</v>
      </c>
    </row>
    <row r="20" spans="1:11" ht="15.75" thickBot="1" x14ac:dyDescent="0.3">
      <c r="A20" s="146" t="s">
        <v>306</v>
      </c>
      <c r="B20" s="106" t="s">
        <v>307</v>
      </c>
      <c r="C20" s="107" t="s">
        <v>3</v>
      </c>
      <c r="D20" s="108">
        <v>134.09</v>
      </c>
      <c r="E20" s="109">
        <v>38900</v>
      </c>
      <c r="F20" s="113">
        <f t="shared" si="0"/>
        <v>5216101</v>
      </c>
      <c r="G20" s="111">
        <v>29285</v>
      </c>
      <c r="H20" s="112">
        <f t="shared" si="5"/>
        <v>3926825.65</v>
      </c>
      <c r="I20" s="109">
        <v>30500</v>
      </c>
      <c r="J20" s="113">
        <f t="shared" si="6"/>
        <v>4089745</v>
      </c>
      <c r="K20" s="104">
        <f t="shared" ref="K20" si="7">(F20+H20+J20)/3</f>
        <v>4410890.55</v>
      </c>
    </row>
    <row r="21" spans="1:11" ht="15.75" thickBot="1" x14ac:dyDescent="0.3">
      <c r="A21" s="147"/>
      <c r="B21" s="115" t="s">
        <v>308</v>
      </c>
      <c r="C21" s="148"/>
      <c r="D21" s="149"/>
      <c r="E21" s="122"/>
      <c r="F21" s="119">
        <f>SUM(F18:F20)</f>
        <v>24318101</v>
      </c>
      <c r="G21" s="120"/>
      <c r="H21" s="121">
        <f>SUM(H18:H20)</f>
        <v>15363075.65</v>
      </c>
      <c r="I21" s="122"/>
      <c r="J21" s="119">
        <f>SUM(J18:J20)</f>
        <v>23169665</v>
      </c>
      <c r="K21" s="123">
        <f>SUM(K18:K20)</f>
        <v>18398710.550000001</v>
      </c>
    </row>
    <row r="22" spans="1:11" ht="15.75" thickBot="1" x14ac:dyDescent="0.3">
      <c r="A22" s="136" t="s">
        <v>309</v>
      </c>
      <c r="B22" s="137" t="s">
        <v>44</v>
      </c>
      <c r="C22" s="138"/>
      <c r="D22" s="139"/>
      <c r="E22" s="140"/>
      <c r="F22" s="141"/>
      <c r="G22" s="142"/>
      <c r="H22" s="143"/>
      <c r="I22" s="140"/>
      <c r="J22" s="141"/>
      <c r="K22" s="144"/>
    </row>
    <row r="23" spans="1:11" x14ac:dyDescent="0.25">
      <c r="A23" s="85" t="s">
        <v>310</v>
      </c>
      <c r="B23" s="86" t="s">
        <v>311</v>
      </c>
      <c r="C23" s="150" t="s">
        <v>3</v>
      </c>
      <c r="D23" s="151">
        <v>130</v>
      </c>
      <c r="E23" s="89">
        <v>15900</v>
      </c>
      <c r="F23" s="90">
        <f t="shared" si="0"/>
        <v>2067000</v>
      </c>
      <c r="G23" s="91">
        <v>15000</v>
      </c>
      <c r="H23" s="92">
        <f t="shared" ref="H23:H24" si="8">D23*G23</f>
        <v>1950000</v>
      </c>
      <c r="I23" s="89">
        <v>6502</v>
      </c>
      <c r="J23" s="90">
        <f>I23*D23</f>
        <v>845260</v>
      </c>
      <c r="K23" s="94">
        <f t="shared" ref="K23:K24" si="9">(F23+H23+J23)/3</f>
        <v>1620753.3333333333</v>
      </c>
    </row>
    <row r="24" spans="1:11" ht="51.75" thickBot="1" x14ac:dyDescent="0.3">
      <c r="A24" s="105" t="s">
        <v>312</v>
      </c>
      <c r="B24" s="152" t="s">
        <v>313</v>
      </c>
      <c r="C24" s="153" t="s">
        <v>3</v>
      </c>
      <c r="D24" s="154">
        <v>130</v>
      </c>
      <c r="E24" s="109">
        <v>55900</v>
      </c>
      <c r="F24" s="113">
        <f t="shared" si="0"/>
        <v>7267000</v>
      </c>
      <c r="G24" s="111">
        <v>58000</v>
      </c>
      <c r="H24" s="112">
        <f t="shared" si="8"/>
        <v>7540000</v>
      </c>
      <c r="I24" s="109">
        <v>67100</v>
      </c>
      <c r="J24" s="113">
        <f>I24*D24</f>
        <v>8723000</v>
      </c>
      <c r="K24" s="104">
        <f t="shared" si="9"/>
        <v>7843333.333333333</v>
      </c>
    </row>
    <row r="25" spans="1:11" ht="15.75" thickBot="1" x14ac:dyDescent="0.3">
      <c r="A25" s="147"/>
      <c r="B25" s="115" t="s">
        <v>314</v>
      </c>
      <c r="C25" s="148"/>
      <c r="D25" s="149"/>
      <c r="E25" s="122"/>
      <c r="F25" s="119">
        <f>SUM(F23:F24)</f>
        <v>9334000</v>
      </c>
      <c r="G25" s="120"/>
      <c r="H25" s="121">
        <f>SUM(H23:H24)</f>
        <v>9490000</v>
      </c>
      <c r="I25" s="122"/>
      <c r="J25" s="119">
        <f>SUM(J23:J24)</f>
        <v>9568260</v>
      </c>
      <c r="K25" s="123">
        <f>SUM(K23:K24)</f>
        <v>9464086.666666666</v>
      </c>
    </row>
    <row r="26" spans="1:11" ht="15.75" thickBot="1" x14ac:dyDescent="0.3">
      <c r="A26" s="136" t="s">
        <v>315</v>
      </c>
      <c r="B26" s="137" t="s">
        <v>316</v>
      </c>
      <c r="C26" s="138"/>
      <c r="D26" s="139"/>
      <c r="E26" s="140"/>
      <c r="F26" s="141"/>
      <c r="G26" s="142"/>
      <c r="H26" s="143"/>
      <c r="I26" s="140"/>
      <c r="J26" s="141"/>
      <c r="K26" s="144"/>
    </row>
    <row r="27" spans="1:11" ht="38.25" x14ac:dyDescent="0.25">
      <c r="A27" s="85" t="s">
        <v>317</v>
      </c>
      <c r="B27" s="86" t="s">
        <v>318</v>
      </c>
      <c r="C27" s="150" t="s">
        <v>3</v>
      </c>
      <c r="D27" s="151">
        <v>8.31</v>
      </c>
      <c r="E27" s="89">
        <v>750000</v>
      </c>
      <c r="F27" s="90">
        <f t="shared" ref="F27:F30" si="10">D27*E27</f>
        <v>6232500</v>
      </c>
      <c r="G27" s="91">
        <v>500000</v>
      </c>
      <c r="H27" s="92">
        <f t="shared" ref="H27:H30" si="11">D27*G27</f>
        <v>4155000.0000000005</v>
      </c>
      <c r="I27" s="89">
        <v>1039839</v>
      </c>
      <c r="J27" s="90">
        <f>I27*D27</f>
        <v>8641062.0899999999</v>
      </c>
      <c r="K27" s="94">
        <f t="shared" ref="K27:K28" si="12">(F27+H27+J27)/3</f>
        <v>6342854.0300000003</v>
      </c>
    </row>
    <row r="28" spans="1:11" ht="38.25" x14ac:dyDescent="0.25">
      <c r="A28" s="95" t="s">
        <v>319</v>
      </c>
      <c r="B28" s="96" t="s">
        <v>116</v>
      </c>
      <c r="C28" s="155" t="s">
        <v>3</v>
      </c>
      <c r="D28" s="156">
        <v>2.69</v>
      </c>
      <c r="E28" s="99">
        <v>760000</v>
      </c>
      <c r="F28" s="100">
        <f t="shared" si="10"/>
        <v>2044400</v>
      </c>
      <c r="G28" s="101">
        <v>500000</v>
      </c>
      <c r="H28" s="102">
        <f t="shared" si="11"/>
        <v>1345000</v>
      </c>
      <c r="I28" s="99">
        <v>1039839</v>
      </c>
      <c r="J28" s="100">
        <f t="shared" ref="J28:J30" si="13">I28*D28</f>
        <v>2797166.91</v>
      </c>
      <c r="K28" s="104">
        <f t="shared" si="12"/>
        <v>2062188.97</v>
      </c>
    </row>
    <row r="29" spans="1:11" ht="38.25" x14ac:dyDescent="0.25">
      <c r="A29" s="95" t="s">
        <v>320</v>
      </c>
      <c r="B29" s="96" t="s">
        <v>118</v>
      </c>
      <c r="C29" s="155" t="s">
        <v>3</v>
      </c>
      <c r="D29" s="156">
        <v>24.32</v>
      </c>
      <c r="E29" s="99">
        <v>650000</v>
      </c>
      <c r="F29" s="100">
        <f t="shared" si="10"/>
        <v>15808000</v>
      </c>
      <c r="G29" s="101">
        <v>500000</v>
      </c>
      <c r="H29" s="102">
        <f t="shared" si="11"/>
        <v>12160000</v>
      </c>
      <c r="I29" s="99">
        <v>1033460</v>
      </c>
      <c r="J29" s="103">
        <f t="shared" si="13"/>
        <v>25133747.199999999</v>
      </c>
      <c r="K29" s="104">
        <v>14930291</v>
      </c>
    </row>
    <row r="30" spans="1:11" ht="39" thickBot="1" x14ac:dyDescent="0.3">
      <c r="A30" s="105" t="s">
        <v>321</v>
      </c>
      <c r="B30" s="152" t="s">
        <v>322</v>
      </c>
      <c r="C30" s="153" t="s">
        <v>3</v>
      </c>
      <c r="D30" s="154">
        <v>37.24</v>
      </c>
      <c r="E30" s="109">
        <v>660000</v>
      </c>
      <c r="F30" s="113">
        <f t="shared" si="10"/>
        <v>24578400</v>
      </c>
      <c r="G30" s="111">
        <v>500000</v>
      </c>
      <c r="H30" s="112">
        <f t="shared" si="11"/>
        <v>18620000</v>
      </c>
      <c r="I30" s="109">
        <v>1033460</v>
      </c>
      <c r="J30" s="110">
        <f t="shared" si="13"/>
        <v>38486050.399999999</v>
      </c>
      <c r="K30" s="104">
        <v>22924075</v>
      </c>
    </row>
    <row r="31" spans="1:11" ht="15.75" thickBot="1" x14ac:dyDescent="0.3">
      <c r="A31" s="147"/>
      <c r="B31" s="115" t="s">
        <v>323</v>
      </c>
      <c r="C31" s="148"/>
      <c r="D31" s="149"/>
      <c r="E31" s="122"/>
      <c r="F31" s="119">
        <f>SUM(F27:F30)</f>
        <v>48663300</v>
      </c>
      <c r="G31" s="120"/>
      <c r="H31" s="121">
        <f>SUM(H27:H30)</f>
        <v>36280000</v>
      </c>
      <c r="I31" s="122"/>
      <c r="J31" s="119">
        <f>SUM(J27:J30)</f>
        <v>75058026.599999994</v>
      </c>
      <c r="K31" s="157">
        <f>SUM(K27:K30)</f>
        <v>46259409</v>
      </c>
    </row>
    <row r="32" spans="1:11" ht="15.75" thickBot="1" x14ac:dyDescent="0.3">
      <c r="A32" s="136" t="s">
        <v>324</v>
      </c>
      <c r="B32" s="137" t="s">
        <v>325</v>
      </c>
      <c r="C32" s="138"/>
      <c r="D32" s="139"/>
      <c r="E32" s="140"/>
      <c r="F32" s="141"/>
      <c r="G32" s="142"/>
      <c r="H32" s="143"/>
      <c r="I32" s="140"/>
      <c r="J32" s="141"/>
      <c r="K32" s="158"/>
    </row>
    <row r="33" spans="1:11" ht="39" thickBot="1" x14ac:dyDescent="0.3">
      <c r="A33" s="159" t="s">
        <v>326</v>
      </c>
      <c r="B33" s="160" t="s">
        <v>327</v>
      </c>
      <c r="C33" s="161" t="s">
        <v>3</v>
      </c>
      <c r="D33" s="162">
        <v>69.349999999999994</v>
      </c>
      <c r="E33" s="163">
        <v>1025000</v>
      </c>
      <c r="F33" s="164">
        <f t="shared" ref="F33" si="14">D33*E33</f>
        <v>71083750</v>
      </c>
      <c r="G33" s="165">
        <v>910000</v>
      </c>
      <c r="H33" s="166">
        <f t="shared" ref="H33" si="15">D33*G33</f>
        <v>63108499.999999993</v>
      </c>
      <c r="I33" s="163">
        <v>1071392</v>
      </c>
      <c r="J33" s="164">
        <f>I33*D33</f>
        <v>74301035.199999988</v>
      </c>
      <c r="K33" s="167">
        <f t="shared" ref="K33" si="16">(F33+H33+J33)/3</f>
        <v>69497761.733333334</v>
      </c>
    </row>
    <row r="34" spans="1:11" ht="15.75" thickBot="1" x14ac:dyDescent="0.3">
      <c r="A34" s="147"/>
      <c r="B34" s="115" t="s">
        <v>328</v>
      </c>
      <c r="C34" s="148"/>
      <c r="D34" s="149"/>
      <c r="E34" s="122"/>
      <c r="F34" s="119">
        <f>SUM(F33)</f>
        <v>71083750</v>
      </c>
      <c r="G34" s="120"/>
      <c r="H34" s="121">
        <f>SUM(H33)</f>
        <v>63108499.999999993</v>
      </c>
      <c r="I34" s="122"/>
      <c r="J34" s="119">
        <f>SUM(J33)</f>
        <v>74301035.199999988</v>
      </c>
      <c r="K34" s="157">
        <f>SUM(K33)</f>
        <v>69497761.733333334</v>
      </c>
    </row>
    <row r="35" spans="1:11" ht="15.75" thickBot="1" x14ac:dyDescent="0.3">
      <c r="A35" s="136" t="s">
        <v>329</v>
      </c>
      <c r="B35" s="137" t="s">
        <v>330</v>
      </c>
      <c r="C35" s="138"/>
      <c r="D35" s="139"/>
      <c r="E35" s="140"/>
      <c r="F35" s="141"/>
      <c r="G35" s="142"/>
      <c r="H35" s="143"/>
      <c r="I35" s="140"/>
      <c r="J35" s="141"/>
      <c r="K35" s="158"/>
    </row>
    <row r="36" spans="1:11" ht="26.25" thickBot="1" x14ac:dyDescent="0.3">
      <c r="A36" s="159" t="s">
        <v>331</v>
      </c>
      <c r="B36" s="160" t="s">
        <v>332</v>
      </c>
      <c r="C36" s="161" t="s">
        <v>3</v>
      </c>
      <c r="D36" s="162">
        <v>400</v>
      </c>
      <c r="E36" s="163">
        <v>6120</v>
      </c>
      <c r="F36" s="164">
        <f t="shared" ref="F36" si="17">D36*E36</f>
        <v>2448000</v>
      </c>
      <c r="G36" s="165">
        <v>4000</v>
      </c>
      <c r="H36" s="166">
        <f t="shared" ref="H36" si="18">D36*G36</f>
        <v>1600000</v>
      </c>
      <c r="I36" s="163">
        <v>7656</v>
      </c>
      <c r="J36" s="164">
        <f>I36*D36</f>
        <v>3062400</v>
      </c>
      <c r="K36" s="167">
        <f t="shared" ref="K36" si="19">(F36+H36+J36)/3</f>
        <v>2370133.3333333335</v>
      </c>
    </row>
    <row r="37" spans="1:11" ht="26.25" thickBot="1" x14ac:dyDescent="0.3">
      <c r="A37" s="147"/>
      <c r="B37" s="115" t="s">
        <v>333</v>
      </c>
      <c r="C37" s="148"/>
      <c r="D37" s="149"/>
      <c r="E37" s="122"/>
      <c r="F37" s="119">
        <f>SUM(F36)</f>
        <v>2448000</v>
      </c>
      <c r="G37" s="120"/>
      <c r="H37" s="121">
        <f>SUM(H36)</f>
        <v>1600000</v>
      </c>
      <c r="I37" s="122"/>
      <c r="J37" s="119">
        <f>SUM(J36)</f>
        <v>3062400</v>
      </c>
      <c r="K37" s="157">
        <f>SUM(K36)</f>
        <v>2370133.3333333335</v>
      </c>
    </row>
    <row r="38" spans="1:11" ht="15.75" thickBot="1" x14ac:dyDescent="0.3">
      <c r="A38" s="168"/>
      <c r="B38" s="137" t="s">
        <v>128</v>
      </c>
      <c r="C38" s="138"/>
      <c r="D38" s="139"/>
      <c r="E38" s="169"/>
      <c r="F38" s="119">
        <f>F11+F16+F21+F25+F31+F34+F37</f>
        <v>190515151</v>
      </c>
      <c r="G38" s="170"/>
      <c r="H38" s="121">
        <f>H11+H16+H21+H25+H31+H34+H37</f>
        <v>152837575.65000001</v>
      </c>
      <c r="I38" s="169"/>
      <c r="J38" s="119">
        <f>J11+J16+J21+J25+J31+J34+J37</f>
        <v>223044455</v>
      </c>
      <c r="K38" s="171">
        <f>K11+K16+K21+K25+K31+K34+K37</f>
        <v>177066640.95000002</v>
      </c>
    </row>
    <row r="39" spans="1:11" ht="15.75" thickBot="1" x14ac:dyDescent="0.3">
      <c r="A39" s="168"/>
      <c r="B39" s="172" t="s">
        <v>263</v>
      </c>
      <c r="C39" s="173" t="s">
        <v>264</v>
      </c>
      <c r="D39" s="174"/>
      <c r="E39" s="175"/>
      <c r="F39" s="176"/>
      <c r="G39" s="177"/>
      <c r="H39" s="178"/>
      <c r="I39" s="175"/>
      <c r="J39" s="176"/>
      <c r="K39" s="158"/>
    </row>
    <row r="40" spans="1:11" x14ac:dyDescent="0.25">
      <c r="A40" s="179"/>
      <c r="B40" s="180" t="s">
        <v>265</v>
      </c>
      <c r="C40" s="181">
        <v>0.13</v>
      </c>
      <c r="D40" s="182"/>
      <c r="E40" s="183"/>
      <c r="F40" s="184">
        <f>+F38*C40</f>
        <v>24766969.630000003</v>
      </c>
      <c r="G40" s="185"/>
      <c r="H40" s="186">
        <f>H38*C40</f>
        <v>19868884.8345</v>
      </c>
      <c r="I40" s="183"/>
      <c r="J40" s="184">
        <f>J38*C40</f>
        <v>28995779.150000002</v>
      </c>
      <c r="K40" s="167">
        <f>K38*C40</f>
        <v>23018663.323500004</v>
      </c>
    </row>
    <row r="41" spans="1:11" x14ac:dyDescent="0.25">
      <c r="A41" s="187"/>
      <c r="B41" s="188" t="s">
        <v>266</v>
      </c>
      <c r="C41" s="189">
        <v>0.02</v>
      </c>
      <c r="D41" s="190"/>
      <c r="E41" s="191"/>
      <c r="F41" s="192">
        <f>+F38*C41</f>
        <v>3810303.02</v>
      </c>
      <c r="G41" s="193"/>
      <c r="H41" s="194">
        <f>H38*C41</f>
        <v>3056751.5130000003</v>
      </c>
      <c r="I41" s="191"/>
      <c r="J41" s="192">
        <f>J38*C41</f>
        <v>4460889.0999999996</v>
      </c>
      <c r="K41" s="195">
        <f>K38*C41</f>
        <v>3541332.8190000006</v>
      </c>
    </row>
    <row r="42" spans="1:11" x14ac:dyDescent="0.25">
      <c r="A42" s="187"/>
      <c r="B42" s="188" t="s">
        <v>267</v>
      </c>
      <c r="C42" s="189">
        <v>0.05</v>
      </c>
      <c r="D42" s="190"/>
      <c r="E42" s="191"/>
      <c r="F42" s="192">
        <f>+F38*C42</f>
        <v>9525757.5500000007</v>
      </c>
      <c r="G42" s="193"/>
      <c r="H42" s="194">
        <f>H38*C42</f>
        <v>7641878.7825000007</v>
      </c>
      <c r="I42" s="191"/>
      <c r="J42" s="192">
        <f>J38*C42</f>
        <v>11152222.75</v>
      </c>
      <c r="K42" s="195">
        <f>K38*C42</f>
        <v>8853332.0475000013</v>
      </c>
    </row>
    <row r="43" spans="1:11" ht="15.75" thickBot="1" x14ac:dyDescent="0.3">
      <c r="A43" s="196"/>
      <c r="B43" s="197" t="s">
        <v>268</v>
      </c>
      <c r="C43" s="198">
        <v>0.19</v>
      </c>
      <c r="D43" s="199"/>
      <c r="E43" s="200"/>
      <c r="F43" s="201">
        <f>+F42*C43</f>
        <v>1809893.9345000002</v>
      </c>
      <c r="G43" s="202"/>
      <c r="H43" s="203">
        <f>H42*C43</f>
        <v>1451956.9686750001</v>
      </c>
      <c r="I43" s="200"/>
      <c r="J43" s="201">
        <f>J42*C43</f>
        <v>2118922.3225000002</v>
      </c>
      <c r="K43" s="204">
        <f>K42*C43</f>
        <v>1682133.0890250003</v>
      </c>
    </row>
    <row r="44" spans="1:11" ht="15.75" thickBot="1" x14ac:dyDescent="0.3">
      <c r="A44" s="168"/>
      <c r="B44" s="137" t="s">
        <v>129</v>
      </c>
      <c r="C44" s="138"/>
      <c r="D44" s="139"/>
      <c r="E44" s="169"/>
      <c r="F44" s="205">
        <f>SUM(F40:F43)</f>
        <v>39912924.134500004</v>
      </c>
      <c r="G44" s="170"/>
      <c r="H44" s="206">
        <f>SUM(H40:H43)</f>
        <v>32019472.098675001</v>
      </c>
      <c r="I44" s="169"/>
      <c r="J44" s="205">
        <f>SUM(J40:J43)</f>
        <v>46727813.322499998</v>
      </c>
      <c r="K44" s="207">
        <f>SUM(K40:K43)</f>
        <v>37095461.279025003</v>
      </c>
    </row>
    <row r="45" spans="1:11" ht="16.5" thickBot="1" x14ac:dyDescent="0.3">
      <c r="A45" s="208"/>
      <c r="B45" s="172" t="s">
        <v>130</v>
      </c>
      <c r="C45" s="209"/>
      <c r="D45" s="210"/>
      <c r="E45" s="211"/>
      <c r="F45" s="212">
        <f>+F38+F44</f>
        <v>230428075.1345</v>
      </c>
      <c r="G45" s="213"/>
      <c r="H45" s="214">
        <f>+H38+H44</f>
        <v>184857047.74867502</v>
      </c>
      <c r="I45" s="211"/>
      <c r="J45" s="212">
        <f>+J38+J44</f>
        <v>269772268.32249999</v>
      </c>
      <c r="K45" s="215">
        <f>K38+K44</f>
        <v>214162102.22902501</v>
      </c>
    </row>
  </sheetData>
  <mergeCells count="10">
    <mergeCell ref="K3:K4"/>
    <mergeCell ref="A1:B2"/>
    <mergeCell ref="C1:K2"/>
    <mergeCell ref="A3:A4"/>
    <mergeCell ref="B3:B4"/>
    <mergeCell ref="C3:C4"/>
    <mergeCell ref="D3:D4"/>
    <mergeCell ref="E3:F3"/>
    <mergeCell ref="G3:H3"/>
    <mergeCell ref="I3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93F32-B379-9640-8A4E-764230A24120}">
  <dimension ref="A1:G323"/>
  <sheetViews>
    <sheetView topLeftCell="A311" workbookViewId="0">
      <selection activeCell="G318" sqref="G318:G321"/>
    </sheetView>
  </sheetViews>
  <sheetFormatPr baseColWidth="10" defaultRowHeight="15" x14ac:dyDescent="0.25"/>
  <cols>
    <col min="1" max="1" width="7.7109375" bestFit="1" customWidth="1"/>
    <col min="2" max="2" width="75.42578125" customWidth="1"/>
    <col min="3" max="3" width="10.28515625" bestFit="1" customWidth="1"/>
    <col min="4" max="4" width="13.28515625" bestFit="1" customWidth="1"/>
    <col min="5" max="5" width="26.42578125" customWidth="1"/>
    <col min="6" max="6" width="23" customWidth="1"/>
    <col min="7" max="7" width="23.140625" customWidth="1"/>
  </cols>
  <sheetData>
    <row r="1" spans="1:7" x14ac:dyDescent="0.25">
      <c r="A1" s="422" t="s">
        <v>334</v>
      </c>
      <c r="B1" s="423"/>
      <c r="C1" s="426" t="s">
        <v>335</v>
      </c>
      <c r="D1" s="427"/>
      <c r="E1" s="427"/>
      <c r="F1" s="427"/>
      <c r="G1" s="428"/>
    </row>
    <row r="2" spans="1:7" ht="15.75" thickBot="1" x14ac:dyDescent="0.3">
      <c r="A2" s="424"/>
      <c r="B2" s="425"/>
      <c r="C2" s="429"/>
      <c r="D2" s="430"/>
      <c r="E2" s="430"/>
      <c r="F2" s="430"/>
      <c r="G2" s="431"/>
    </row>
    <row r="3" spans="1:7" ht="32.25" thickBot="1" x14ac:dyDescent="0.3">
      <c r="A3" s="432" t="s">
        <v>0</v>
      </c>
      <c r="B3" s="434" t="s">
        <v>1</v>
      </c>
      <c r="C3" s="432" t="s">
        <v>275</v>
      </c>
      <c r="D3" s="432" t="s">
        <v>336</v>
      </c>
      <c r="E3" s="218" t="s">
        <v>279</v>
      </c>
      <c r="F3" s="219" t="s">
        <v>277</v>
      </c>
      <c r="G3" s="437" t="s">
        <v>337</v>
      </c>
    </row>
    <row r="4" spans="1:7" ht="16.5" thickBot="1" x14ac:dyDescent="0.3">
      <c r="A4" s="433"/>
      <c r="B4" s="435"/>
      <c r="C4" s="436"/>
      <c r="D4" s="436"/>
      <c r="E4" s="220" t="s">
        <v>281</v>
      </c>
      <c r="F4" s="220" t="s">
        <v>281</v>
      </c>
      <c r="G4" s="438"/>
    </row>
    <row r="5" spans="1:7" ht="16.5" thickBot="1" x14ac:dyDescent="0.3">
      <c r="A5" s="221">
        <v>1</v>
      </c>
      <c r="B5" s="222" t="s">
        <v>145</v>
      </c>
      <c r="C5" s="223"/>
      <c r="D5" s="224"/>
      <c r="E5" s="225"/>
      <c r="F5" s="226"/>
      <c r="G5" s="227"/>
    </row>
    <row r="6" spans="1:7" x14ac:dyDescent="0.25">
      <c r="A6" s="228">
        <v>1.01</v>
      </c>
      <c r="B6" s="229" t="s">
        <v>65</v>
      </c>
      <c r="C6" s="230" t="s">
        <v>3</v>
      </c>
      <c r="D6" s="231">
        <v>1</v>
      </c>
      <c r="E6" s="232">
        <v>16969</v>
      </c>
      <c r="F6" s="233">
        <v>12220</v>
      </c>
      <c r="G6" s="234">
        <f>(E6+F6)/2</f>
        <v>14594.5</v>
      </c>
    </row>
    <row r="7" spans="1:7" x14ac:dyDescent="0.25">
      <c r="A7" s="228">
        <v>1.02</v>
      </c>
      <c r="B7" s="235" t="s">
        <v>26</v>
      </c>
      <c r="C7" s="236" t="s">
        <v>5</v>
      </c>
      <c r="D7" s="237">
        <v>1</v>
      </c>
      <c r="E7" s="232">
        <v>6507</v>
      </c>
      <c r="F7" s="233">
        <v>5340.4</v>
      </c>
      <c r="G7" s="234">
        <f t="shared" ref="G7:G70" si="0">(E7+F7)/2</f>
        <v>5923.7</v>
      </c>
    </row>
    <row r="8" spans="1:7" x14ac:dyDescent="0.25">
      <c r="A8" s="228">
        <v>1.03</v>
      </c>
      <c r="B8" s="238" t="s">
        <v>23</v>
      </c>
      <c r="C8" s="236" t="s">
        <v>4</v>
      </c>
      <c r="D8" s="237">
        <v>1</v>
      </c>
      <c r="E8" s="232">
        <v>15821</v>
      </c>
      <c r="F8" s="233">
        <v>10479.299999999999</v>
      </c>
      <c r="G8" s="234">
        <f t="shared" si="0"/>
        <v>13150.15</v>
      </c>
    </row>
    <row r="9" spans="1:7" x14ac:dyDescent="0.25">
      <c r="A9" s="228">
        <v>1.04</v>
      </c>
      <c r="B9" s="238" t="s">
        <v>146</v>
      </c>
      <c r="C9" s="236" t="s">
        <v>3</v>
      </c>
      <c r="D9" s="237">
        <v>1</v>
      </c>
      <c r="E9" s="232">
        <v>10335</v>
      </c>
      <c r="F9" s="233">
        <v>8633.2999999999993</v>
      </c>
      <c r="G9" s="234">
        <f t="shared" si="0"/>
        <v>9484.15</v>
      </c>
    </row>
    <row r="10" spans="1:7" x14ac:dyDescent="0.25">
      <c r="A10" s="228">
        <v>1.05</v>
      </c>
      <c r="B10" s="238" t="s">
        <v>8</v>
      </c>
      <c r="C10" s="236" t="s">
        <v>5</v>
      </c>
      <c r="D10" s="237">
        <v>1</v>
      </c>
      <c r="E10" s="232">
        <v>20000</v>
      </c>
      <c r="F10" s="233">
        <v>10388.299999999999</v>
      </c>
      <c r="G10" s="234">
        <f t="shared" si="0"/>
        <v>15194.15</v>
      </c>
    </row>
    <row r="11" spans="1:7" x14ac:dyDescent="0.25">
      <c r="A11" s="228">
        <v>1.06</v>
      </c>
      <c r="B11" s="238" t="s">
        <v>27</v>
      </c>
      <c r="C11" s="236" t="s">
        <v>4</v>
      </c>
      <c r="D11" s="237">
        <v>1</v>
      </c>
      <c r="E11" s="239">
        <v>250000</v>
      </c>
      <c r="F11" s="233">
        <v>6880.9</v>
      </c>
      <c r="G11" s="234">
        <f>(F11)/1</f>
        <v>6880.9</v>
      </c>
    </row>
    <row r="12" spans="1:7" x14ac:dyDescent="0.25">
      <c r="A12" s="228">
        <v>1.07</v>
      </c>
      <c r="B12" s="238" t="s">
        <v>9</v>
      </c>
      <c r="C12" s="236" t="s">
        <v>5</v>
      </c>
      <c r="D12" s="237">
        <v>1</v>
      </c>
      <c r="E12" s="232">
        <v>25000</v>
      </c>
      <c r="F12" s="233">
        <v>14301.3</v>
      </c>
      <c r="G12" s="234">
        <f t="shared" si="0"/>
        <v>19650.650000000001</v>
      </c>
    </row>
    <row r="13" spans="1:7" x14ac:dyDescent="0.25">
      <c r="A13" s="228">
        <v>1.08</v>
      </c>
      <c r="B13" s="238" t="s">
        <v>147</v>
      </c>
      <c r="C13" s="236" t="s">
        <v>5</v>
      </c>
      <c r="D13" s="237">
        <v>1</v>
      </c>
      <c r="E13" s="232">
        <v>25518</v>
      </c>
      <c r="F13" s="233">
        <v>12509.9</v>
      </c>
      <c r="G13" s="234">
        <f t="shared" si="0"/>
        <v>19013.95</v>
      </c>
    </row>
    <row r="14" spans="1:7" x14ac:dyDescent="0.25">
      <c r="A14" s="228">
        <v>1.0900000000000001</v>
      </c>
      <c r="B14" s="240" t="s">
        <v>38</v>
      </c>
      <c r="C14" s="236" t="s">
        <v>3</v>
      </c>
      <c r="D14" s="237">
        <v>1</v>
      </c>
      <c r="E14" s="232">
        <v>17000</v>
      </c>
      <c r="F14" s="233">
        <v>9903.4</v>
      </c>
      <c r="G14" s="234">
        <f t="shared" si="0"/>
        <v>13451.7</v>
      </c>
    </row>
    <row r="15" spans="1:7" x14ac:dyDescent="0.25">
      <c r="A15" s="228">
        <v>1.1000000000000001</v>
      </c>
      <c r="B15" s="240" t="s">
        <v>39</v>
      </c>
      <c r="C15" s="236" t="s">
        <v>3</v>
      </c>
      <c r="D15" s="237">
        <v>1</v>
      </c>
      <c r="E15" s="232">
        <v>14500</v>
      </c>
      <c r="F15" s="233">
        <v>7147.4</v>
      </c>
      <c r="G15" s="234">
        <f t="shared" si="0"/>
        <v>10823.7</v>
      </c>
    </row>
    <row r="16" spans="1:7" x14ac:dyDescent="0.25">
      <c r="A16" s="228">
        <v>1.1100000000000001</v>
      </c>
      <c r="B16" s="240" t="s">
        <v>40</v>
      </c>
      <c r="C16" s="236" t="s">
        <v>5</v>
      </c>
      <c r="D16" s="237">
        <v>1</v>
      </c>
      <c r="E16" s="232">
        <v>4500</v>
      </c>
      <c r="F16" s="233">
        <v>9692.7999999999993</v>
      </c>
      <c r="G16" s="234">
        <f t="shared" si="0"/>
        <v>7096.4</v>
      </c>
    </row>
    <row r="17" spans="1:7" ht="25.5" x14ac:dyDescent="0.25">
      <c r="A17" s="228">
        <v>1.1200000000000001</v>
      </c>
      <c r="B17" s="241" t="s">
        <v>41</v>
      </c>
      <c r="C17" s="236" t="s">
        <v>3</v>
      </c>
      <c r="D17" s="237">
        <v>1</v>
      </c>
      <c r="E17" s="242">
        <v>12402</v>
      </c>
      <c r="F17" s="243">
        <v>8568.2999999999993</v>
      </c>
      <c r="G17" s="244">
        <f t="shared" si="0"/>
        <v>10485.15</v>
      </c>
    </row>
    <row r="18" spans="1:7" x14ac:dyDescent="0.25">
      <c r="A18" s="228">
        <v>1.1299999999999999</v>
      </c>
      <c r="B18" s="245" t="s">
        <v>11</v>
      </c>
      <c r="C18" s="246" t="s">
        <v>5</v>
      </c>
      <c r="D18" s="237">
        <v>1</v>
      </c>
      <c r="E18" s="242">
        <v>14500</v>
      </c>
      <c r="F18" s="243">
        <v>41470</v>
      </c>
      <c r="G18" s="247">
        <f t="shared" si="0"/>
        <v>27985</v>
      </c>
    </row>
    <row r="19" spans="1:7" x14ac:dyDescent="0.25">
      <c r="A19" s="228">
        <v>1.1399999999999999</v>
      </c>
      <c r="B19" s="245" t="s">
        <v>12</v>
      </c>
      <c r="C19" s="246" t="s">
        <v>3</v>
      </c>
      <c r="D19" s="237">
        <v>1</v>
      </c>
      <c r="E19" s="242">
        <v>17000</v>
      </c>
      <c r="F19" s="243">
        <v>34993.4</v>
      </c>
      <c r="G19" s="247">
        <f t="shared" si="0"/>
        <v>25996.7</v>
      </c>
    </row>
    <row r="20" spans="1:7" x14ac:dyDescent="0.25">
      <c r="A20" s="228">
        <v>1.1499999999999999</v>
      </c>
      <c r="B20" s="245" t="s">
        <v>148</v>
      </c>
      <c r="C20" s="246" t="s">
        <v>3</v>
      </c>
      <c r="D20" s="237">
        <v>1</v>
      </c>
      <c r="E20" s="242">
        <v>7000</v>
      </c>
      <c r="F20" s="243">
        <v>37139.699999999997</v>
      </c>
      <c r="G20" s="247">
        <f t="shared" si="0"/>
        <v>22069.85</v>
      </c>
    </row>
    <row r="21" spans="1:7" x14ac:dyDescent="0.25">
      <c r="A21" s="228">
        <v>1.1599999999999999</v>
      </c>
      <c r="B21" s="245" t="s">
        <v>13</v>
      </c>
      <c r="C21" s="246" t="s">
        <v>3</v>
      </c>
      <c r="D21" s="237">
        <v>1</v>
      </c>
      <c r="E21" s="242">
        <v>18117</v>
      </c>
      <c r="F21" s="243">
        <v>12944.1</v>
      </c>
      <c r="G21" s="247">
        <f t="shared" si="0"/>
        <v>15530.55</v>
      </c>
    </row>
    <row r="22" spans="1:7" x14ac:dyDescent="0.25">
      <c r="A22" s="228">
        <v>1.17</v>
      </c>
      <c r="B22" s="238" t="s">
        <v>149</v>
      </c>
      <c r="C22" s="248" t="s">
        <v>3</v>
      </c>
      <c r="D22" s="237">
        <v>1</v>
      </c>
      <c r="E22" s="242">
        <v>15566</v>
      </c>
      <c r="F22" s="243">
        <v>12161.5</v>
      </c>
      <c r="G22" s="247">
        <f t="shared" si="0"/>
        <v>13863.75</v>
      </c>
    </row>
    <row r="23" spans="1:7" x14ac:dyDescent="0.25">
      <c r="A23" s="228">
        <v>1.18</v>
      </c>
      <c r="B23" s="238" t="s">
        <v>66</v>
      </c>
      <c r="C23" s="248" t="s">
        <v>3</v>
      </c>
      <c r="D23" s="237">
        <v>1</v>
      </c>
      <c r="E23" s="242">
        <v>15949</v>
      </c>
      <c r="F23" s="243">
        <v>13140.4</v>
      </c>
      <c r="G23" s="247">
        <f t="shared" si="0"/>
        <v>14544.7</v>
      </c>
    </row>
    <row r="24" spans="1:7" x14ac:dyDescent="0.25">
      <c r="A24" s="228">
        <v>1.19</v>
      </c>
      <c r="B24" s="238" t="s">
        <v>150</v>
      </c>
      <c r="C24" s="248" t="s">
        <v>3</v>
      </c>
      <c r="D24" s="237">
        <v>1</v>
      </c>
      <c r="E24" s="242">
        <v>8294</v>
      </c>
      <c r="F24" s="243">
        <v>6793.8</v>
      </c>
      <c r="G24" s="247">
        <f t="shared" si="0"/>
        <v>7543.9</v>
      </c>
    </row>
    <row r="25" spans="1:7" x14ac:dyDescent="0.25">
      <c r="A25" s="228">
        <v>1.2</v>
      </c>
      <c r="B25" s="238" t="s">
        <v>151</v>
      </c>
      <c r="C25" s="248" t="s">
        <v>3</v>
      </c>
      <c r="D25" s="237">
        <v>1</v>
      </c>
      <c r="E25" s="242">
        <v>18117</v>
      </c>
      <c r="F25" s="243">
        <v>14957.8</v>
      </c>
      <c r="G25" s="247">
        <f t="shared" si="0"/>
        <v>16537.400000000001</v>
      </c>
    </row>
    <row r="26" spans="1:7" x14ac:dyDescent="0.25">
      <c r="A26" s="228">
        <v>1.21</v>
      </c>
      <c r="B26" s="238" t="s">
        <v>67</v>
      </c>
      <c r="C26" s="248" t="s">
        <v>3</v>
      </c>
      <c r="D26" s="237">
        <v>1</v>
      </c>
      <c r="E26" s="242">
        <v>74383</v>
      </c>
      <c r="F26" s="243">
        <v>62257</v>
      </c>
      <c r="G26" s="247">
        <f t="shared" si="0"/>
        <v>68320</v>
      </c>
    </row>
    <row r="27" spans="1:7" x14ac:dyDescent="0.25">
      <c r="A27" s="228">
        <v>1.22</v>
      </c>
      <c r="B27" s="238" t="s">
        <v>68</v>
      </c>
      <c r="C27" s="248" t="s">
        <v>4</v>
      </c>
      <c r="D27" s="237">
        <v>1</v>
      </c>
      <c r="E27" s="242">
        <v>27177</v>
      </c>
      <c r="F27" s="243">
        <v>22087</v>
      </c>
      <c r="G27" s="247">
        <f t="shared" si="0"/>
        <v>24632</v>
      </c>
    </row>
    <row r="28" spans="1:7" x14ac:dyDescent="0.25">
      <c r="A28" s="228">
        <v>1.23</v>
      </c>
      <c r="B28" s="249" t="s">
        <v>69</v>
      </c>
      <c r="C28" s="248" t="s">
        <v>72</v>
      </c>
      <c r="D28" s="237">
        <v>1</v>
      </c>
      <c r="E28" s="242">
        <v>23093</v>
      </c>
      <c r="F28" s="243">
        <v>18592.599999999999</v>
      </c>
      <c r="G28" s="247">
        <f t="shared" si="0"/>
        <v>20842.8</v>
      </c>
    </row>
    <row r="29" spans="1:7" x14ac:dyDescent="0.25">
      <c r="A29" s="228">
        <v>1.24</v>
      </c>
      <c r="B29" s="249" t="s">
        <v>70</v>
      </c>
      <c r="C29" s="248" t="s">
        <v>5</v>
      </c>
      <c r="D29" s="237">
        <v>1</v>
      </c>
      <c r="E29" s="242">
        <v>14545</v>
      </c>
      <c r="F29" s="243">
        <v>11182.6</v>
      </c>
      <c r="G29" s="247">
        <f t="shared" si="0"/>
        <v>12863.8</v>
      </c>
    </row>
    <row r="30" spans="1:7" x14ac:dyDescent="0.25">
      <c r="A30" s="228">
        <v>1.25</v>
      </c>
      <c r="B30" s="249" t="s">
        <v>152</v>
      </c>
      <c r="C30" s="248" t="s">
        <v>5</v>
      </c>
      <c r="D30" s="237">
        <v>1</v>
      </c>
      <c r="E30" s="242">
        <v>42360</v>
      </c>
      <c r="F30" s="243">
        <v>34949.199999999997</v>
      </c>
      <c r="G30" s="247">
        <f t="shared" si="0"/>
        <v>38654.6</v>
      </c>
    </row>
    <row r="31" spans="1:7" x14ac:dyDescent="0.25">
      <c r="A31" s="228">
        <v>1.26</v>
      </c>
      <c r="B31" s="249" t="s">
        <v>153</v>
      </c>
      <c r="C31" s="248" t="s">
        <v>4</v>
      </c>
      <c r="D31" s="237">
        <v>1</v>
      </c>
      <c r="E31" s="242">
        <v>32152</v>
      </c>
      <c r="F31" s="243">
        <v>26001.3</v>
      </c>
      <c r="G31" s="247">
        <f t="shared" si="0"/>
        <v>29076.65</v>
      </c>
    </row>
    <row r="32" spans="1:7" x14ac:dyDescent="0.25">
      <c r="A32" s="228">
        <v>1.27</v>
      </c>
      <c r="B32" s="249" t="s">
        <v>71</v>
      </c>
      <c r="C32" s="248" t="s">
        <v>4</v>
      </c>
      <c r="D32" s="237">
        <v>1</v>
      </c>
      <c r="E32" s="242">
        <v>32152</v>
      </c>
      <c r="F32" s="243">
        <v>26211.9</v>
      </c>
      <c r="G32" s="247">
        <f t="shared" si="0"/>
        <v>29181.95</v>
      </c>
    </row>
    <row r="33" spans="1:7" x14ac:dyDescent="0.25">
      <c r="A33" s="228">
        <v>1.28</v>
      </c>
      <c r="B33" s="238" t="s">
        <v>73</v>
      </c>
      <c r="C33" s="248" t="s">
        <v>5</v>
      </c>
      <c r="D33" s="237">
        <v>1</v>
      </c>
      <c r="E33" s="242">
        <v>15821</v>
      </c>
      <c r="F33" s="243">
        <v>12581.4</v>
      </c>
      <c r="G33" s="247">
        <f t="shared" si="0"/>
        <v>14201.2</v>
      </c>
    </row>
    <row r="34" spans="1:7" x14ac:dyDescent="0.25">
      <c r="A34" s="228">
        <v>1.29</v>
      </c>
      <c r="B34" s="238" t="s">
        <v>74</v>
      </c>
      <c r="C34" s="248" t="s">
        <v>4</v>
      </c>
      <c r="D34" s="237">
        <v>1</v>
      </c>
      <c r="E34" s="242">
        <v>33173</v>
      </c>
      <c r="F34" s="243">
        <v>27959.1</v>
      </c>
      <c r="G34" s="247">
        <f t="shared" si="0"/>
        <v>30566.05</v>
      </c>
    </row>
    <row r="35" spans="1:7" x14ac:dyDescent="0.25">
      <c r="A35" s="228">
        <v>1.3</v>
      </c>
      <c r="B35" s="238" t="s">
        <v>75</v>
      </c>
      <c r="C35" s="248" t="s">
        <v>3</v>
      </c>
      <c r="D35" s="237">
        <v>1</v>
      </c>
      <c r="E35" s="242">
        <v>25773</v>
      </c>
      <c r="F35" s="243">
        <v>20969</v>
      </c>
      <c r="G35" s="247">
        <f t="shared" si="0"/>
        <v>23371</v>
      </c>
    </row>
    <row r="36" spans="1:7" x14ac:dyDescent="0.25">
      <c r="A36" s="228">
        <v>1.31</v>
      </c>
      <c r="B36" s="238" t="s">
        <v>76</v>
      </c>
      <c r="C36" s="248" t="s">
        <v>4</v>
      </c>
      <c r="D36" s="237">
        <v>1</v>
      </c>
      <c r="E36" s="242">
        <v>66473</v>
      </c>
      <c r="F36" s="243">
        <v>55918.2</v>
      </c>
      <c r="G36" s="247">
        <f t="shared" si="0"/>
        <v>61195.6</v>
      </c>
    </row>
    <row r="37" spans="1:7" x14ac:dyDescent="0.25">
      <c r="A37" s="228">
        <v>1.32</v>
      </c>
      <c r="B37" s="238" t="s">
        <v>77</v>
      </c>
      <c r="C37" s="248" t="s">
        <v>4</v>
      </c>
      <c r="D37" s="237">
        <v>1</v>
      </c>
      <c r="E37" s="242">
        <v>117381</v>
      </c>
      <c r="F37" s="243">
        <v>97857.5</v>
      </c>
      <c r="G37" s="247">
        <f t="shared" si="0"/>
        <v>107619.25</v>
      </c>
    </row>
    <row r="38" spans="1:7" x14ac:dyDescent="0.25">
      <c r="A38" s="228">
        <v>1.33</v>
      </c>
      <c r="B38" s="238" t="s">
        <v>78</v>
      </c>
      <c r="C38" s="248" t="s">
        <v>4</v>
      </c>
      <c r="D38" s="237">
        <v>1</v>
      </c>
      <c r="E38" s="242">
        <v>43125</v>
      </c>
      <c r="F38" s="243">
        <v>36346.699999999997</v>
      </c>
      <c r="G38" s="247">
        <f t="shared" si="0"/>
        <v>39735.85</v>
      </c>
    </row>
    <row r="39" spans="1:7" x14ac:dyDescent="0.25">
      <c r="A39" s="228">
        <v>1.34</v>
      </c>
      <c r="B39" s="238" t="s">
        <v>79</v>
      </c>
      <c r="C39" s="248" t="s">
        <v>4</v>
      </c>
      <c r="D39" s="237">
        <v>1</v>
      </c>
      <c r="E39" s="242">
        <v>39807</v>
      </c>
      <c r="F39" s="243">
        <v>33550.400000000001</v>
      </c>
      <c r="G39" s="247">
        <f t="shared" si="0"/>
        <v>36678.699999999997</v>
      </c>
    </row>
    <row r="40" spans="1:7" x14ac:dyDescent="0.25">
      <c r="A40" s="228">
        <v>1.35</v>
      </c>
      <c r="B40" s="249" t="s">
        <v>80</v>
      </c>
      <c r="C40" s="248" t="s">
        <v>4</v>
      </c>
      <c r="D40" s="237">
        <v>1</v>
      </c>
      <c r="E40" s="242">
        <v>39807</v>
      </c>
      <c r="F40" s="243">
        <v>33550.400000000001</v>
      </c>
      <c r="G40" s="247">
        <f t="shared" si="0"/>
        <v>36678.699999999997</v>
      </c>
    </row>
    <row r="41" spans="1:7" x14ac:dyDescent="0.25">
      <c r="A41" s="228">
        <v>1.36</v>
      </c>
      <c r="B41" s="238" t="s">
        <v>81</v>
      </c>
      <c r="C41" s="248" t="s">
        <v>3</v>
      </c>
      <c r="D41" s="237">
        <v>1</v>
      </c>
      <c r="E41" s="242">
        <v>22072</v>
      </c>
      <c r="F41" s="243">
        <v>17474.599999999999</v>
      </c>
      <c r="G41" s="247">
        <f t="shared" si="0"/>
        <v>19773.3</v>
      </c>
    </row>
    <row r="42" spans="1:7" x14ac:dyDescent="0.25">
      <c r="A42" s="228">
        <v>1.37</v>
      </c>
      <c r="B42" s="238" t="s">
        <v>154</v>
      </c>
      <c r="C42" s="248" t="s">
        <v>3</v>
      </c>
      <c r="D42" s="237">
        <v>1</v>
      </c>
      <c r="E42" s="242">
        <v>58817</v>
      </c>
      <c r="F42" s="243">
        <v>48928.1</v>
      </c>
      <c r="G42" s="247">
        <f t="shared" si="0"/>
        <v>53872.55</v>
      </c>
    </row>
    <row r="43" spans="1:7" x14ac:dyDescent="0.25">
      <c r="A43" s="228">
        <v>1.38</v>
      </c>
      <c r="B43" s="238" t="s">
        <v>82</v>
      </c>
      <c r="C43" s="248" t="s">
        <v>4</v>
      </c>
      <c r="D43" s="237">
        <v>1</v>
      </c>
      <c r="E43" s="242">
        <v>10462</v>
      </c>
      <c r="F43" s="243">
        <v>8387.6</v>
      </c>
      <c r="G43" s="247">
        <f t="shared" si="0"/>
        <v>9424.7999999999993</v>
      </c>
    </row>
    <row r="44" spans="1:7" x14ac:dyDescent="0.25">
      <c r="A44" s="228">
        <v>1.39</v>
      </c>
      <c r="B44" s="238" t="s">
        <v>83</v>
      </c>
      <c r="C44" s="248" t="s">
        <v>4</v>
      </c>
      <c r="D44" s="237">
        <v>1</v>
      </c>
      <c r="E44" s="242">
        <v>15437</v>
      </c>
      <c r="F44" s="243">
        <v>12860.9</v>
      </c>
      <c r="G44" s="247">
        <f t="shared" si="0"/>
        <v>14148.95</v>
      </c>
    </row>
    <row r="45" spans="1:7" x14ac:dyDescent="0.25">
      <c r="A45" s="228">
        <v>1.4</v>
      </c>
      <c r="B45" s="238" t="s">
        <v>155</v>
      </c>
      <c r="C45" s="248" t="s">
        <v>3</v>
      </c>
      <c r="D45" s="237">
        <v>1</v>
      </c>
      <c r="E45" s="242">
        <v>6519</v>
      </c>
      <c r="F45" s="243">
        <v>4891.8999999999996</v>
      </c>
      <c r="G45" s="247">
        <f t="shared" si="0"/>
        <v>5705.45</v>
      </c>
    </row>
    <row r="46" spans="1:7" x14ac:dyDescent="0.25">
      <c r="A46" s="228">
        <v>1.41</v>
      </c>
      <c r="B46" s="238" t="s">
        <v>156</v>
      </c>
      <c r="C46" s="248" t="s">
        <v>4</v>
      </c>
      <c r="D46" s="237">
        <v>1</v>
      </c>
      <c r="E46" s="242">
        <v>15820</v>
      </c>
      <c r="F46" s="243">
        <v>13279.5</v>
      </c>
      <c r="G46" s="247">
        <f t="shared" si="0"/>
        <v>14549.75</v>
      </c>
    </row>
    <row r="47" spans="1:7" x14ac:dyDescent="0.25">
      <c r="A47" s="228">
        <v>1.42</v>
      </c>
      <c r="B47" s="238" t="s">
        <v>157</v>
      </c>
      <c r="C47" s="248" t="s">
        <v>5</v>
      </c>
      <c r="D47" s="237">
        <v>1</v>
      </c>
      <c r="E47" s="242">
        <v>4210</v>
      </c>
      <c r="F47" s="243">
        <v>3494.4</v>
      </c>
      <c r="G47" s="247">
        <f t="shared" si="0"/>
        <v>3852.2</v>
      </c>
    </row>
    <row r="48" spans="1:7" x14ac:dyDescent="0.25">
      <c r="A48" s="228">
        <v>1.43</v>
      </c>
      <c r="B48" s="238" t="s">
        <v>84</v>
      </c>
      <c r="C48" s="248" t="s">
        <v>4</v>
      </c>
      <c r="D48" s="237">
        <v>1</v>
      </c>
      <c r="E48" s="242">
        <v>6442</v>
      </c>
      <c r="F48" s="243">
        <v>5311.8</v>
      </c>
      <c r="G48" s="247">
        <f t="shared" si="0"/>
        <v>5876.9</v>
      </c>
    </row>
    <row r="49" spans="1:7" x14ac:dyDescent="0.25">
      <c r="A49" s="228">
        <v>1.44</v>
      </c>
      <c r="B49" s="238" t="s">
        <v>85</v>
      </c>
      <c r="C49" s="248" t="s">
        <v>4</v>
      </c>
      <c r="D49" s="237">
        <v>1</v>
      </c>
      <c r="E49" s="242">
        <v>6442</v>
      </c>
      <c r="F49" s="243">
        <v>5311.8</v>
      </c>
      <c r="G49" s="247">
        <f t="shared" si="0"/>
        <v>5876.9</v>
      </c>
    </row>
    <row r="50" spans="1:7" x14ac:dyDescent="0.25">
      <c r="A50" s="228">
        <v>1.45</v>
      </c>
      <c r="B50" s="238" t="s">
        <v>158</v>
      </c>
      <c r="C50" s="248" t="s">
        <v>4</v>
      </c>
      <c r="D50" s="237">
        <v>1</v>
      </c>
      <c r="E50" s="242">
        <v>30748</v>
      </c>
      <c r="F50" s="243">
        <v>25162.799999999999</v>
      </c>
      <c r="G50" s="247">
        <f t="shared" si="0"/>
        <v>27955.4</v>
      </c>
    </row>
    <row r="51" spans="1:7" x14ac:dyDescent="0.25">
      <c r="A51" s="228">
        <v>1.46</v>
      </c>
      <c r="B51" s="238" t="s">
        <v>86</v>
      </c>
      <c r="C51" s="248" t="s">
        <v>3</v>
      </c>
      <c r="D51" s="237">
        <v>1</v>
      </c>
      <c r="E51" s="242">
        <v>18181</v>
      </c>
      <c r="F51" s="243">
        <v>14398.8</v>
      </c>
      <c r="G51" s="247">
        <f t="shared" si="0"/>
        <v>16289.9</v>
      </c>
    </row>
    <row r="52" spans="1:7" x14ac:dyDescent="0.25">
      <c r="A52" s="228">
        <v>1.47</v>
      </c>
      <c r="B52" s="238" t="s">
        <v>87</v>
      </c>
      <c r="C52" s="248" t="s">
        <v>3</v>
      </c>
      <c r="D52" s="237">
        <v>1</v>
      </c>
      <c r="E52" s="242">
        <v>18755</v>
      </c>
      <c r="F52" s="243">
        <v>14398.8</v>
      </c>
      <c r="G52" s="247">
        <f t="shared" si="0"/>
        <v>16576.900000000001</v>
      </c>
    </row>
    <row r="53" spans="1:7" x14ac:dyDescent="0.25">
      <c r="A53" s="228">
        <v>1.48</v>
      </c>
      <c r="B53" s="238" t="s">
        <v>88</v>
      </c>
      <c r="C53" s="248" t="s">
        <v>4</v>
      </c>
      <c r="D53" s="237">
        <v>1</v>
      </c>
      <c r="E53" s="242">
        <v>8931</v>
      </c>
      <c r="F53" s="243">
        <v>6429.8</v>
      </c>
      <c r="G53" s="247">
        <f t="shared" si="0"/>
        <v>7680.4</v>
      </c>
    </row>
    <row r="54" spans="1:7" x14ac:dyDescent="0.25">
      <c r="A54" s="228">
        <v>1.49</v>
      </c>
      <c r="B54" s="238" t="s">
        <v>89</v>
      </c>
      <c r="C54" s="248" t="s">
        <v>3</v>
      </c>
      <c r="D54" s="237">
        <v>1</v>
      </c>
      <c r="E54" s="242">
        <v>7782</v>
      </c>
      <c r="F54" s="243">
        <v>6290.7</v>
      </c>
      <c r="G54" s="247">
        <f t="shared" si="0"/>
        <v>7036.35</v>
      </c>
    </row>
    <row r="55" spans="1:7" x14ac:dyDescent="0.25">
      <c r="A55" s="228">
        <v>1.5</v>
      </c>
      <c r="B55" s="238" t="s">
        <v>338</v>
      </c>
      <c r="C55" s="248" t="s">
        <v>3</v>
      </c>
      <c r="D55" s="237">
        <v>1</v>
      </c>
      <c r="E55" s="242">
        <v>8548</v>
      </c>
      <c r="F55" s="243">
        <v>7127.9</v>
      </c>
      <c r="G55" s="247">
        <f t="shared" si="0"/>
        <v>7837.95</v>
      </c>
    </row>
    <row r="56" spans="1:7" x14ac:dyDescent="0.25">
      <c r="A56" s="228">
        <v>1.51</v>
      </c>
      <c r="B56" s="238" t="s">
        <v>90</v>
      </c>
      <c r="C56" s="248" t="s">
        <v>5</v>
      </c>
      <c r="D56" s="237">
        <v>1</v>
      </c>
      <c r="E56" s="242">
        <v>14289</v>
      </c>
      <c r="F56" s="243">
        <v>11882</v>
      </c>
      <c r="G56" s="247">
        <f t="shared" si="0"/>
        <v>13085.5</v>
      </c>
    </row>
    <row r="57" spans="1:7" x14ac:dyDescent="0.25">
      <c r="A57" s="228">
        <v>1.52</v>
      </c>
      <c r="B57" s="238" t="s">
        <v>159</v>
      </c>
      <c r="C57" s="248" t="s">
        <v>5</v>
      </c>
      <c r="D57" s="237">
        <v>1</v>
      </c>
      <c r="E57" s="242">
        <v>6442</v>
      </c>
      <c r="F57" s="243">
        <v>4891.8999999999996</v>
      </c>
      <c r="G57" s="247">
        <f t="shared" si="0"/>
        <v>5666.95</v>
      </c>
    </row>
    <row r="58" spans="1:7" x14ac:dyDescent="0.25">
      <c r="A58" s="228">
        <v>1.53</v>
      </c>
      <c r="B58" s="238" t="s">
        <v>160</v>
      </c>
      <c r="C58" s="248" t="s">
        <v>4</v>
      </c>
      <c r="D58" s="237">
        <v>1</v>
      </c>
      <c r="E58" s="242">
        <v>93138</v>
      </c>
      <c r="F58" s="243">
        <v>76887.199999999997</v>
      </c>
      <c r="G58" s="247">
        <f t="shared" si="0"/>
        <v>85012.6</v>
      </c>
    </row>
    <row r="59" spans="1:7" ht="25.5" x14ac:dyDescent="0.25">
      <c r="A59" s="228">
        <v>1.54</v>
      </c>
      <c r="B59" s="240" t="s">
        <v>22</v>
      </c>
      <c r="C59" s="250" t="s">
        <v>5</v>
      </c>
      <c r="D59" s="237">
        <v>1</v>
      </c>
      <c r="E59" s="232">
        <v>8038</v>
      </c>
      <c r="F59" s="233">
        <v>6698.9</v>
      </c>
      <c r="G59" s="244">
        <f t="shared" si="0"/>
        <v>7368.45</v>
      </c>
    </row>
    <row r="60" spans="1:7" x14ac:dyDescent="0.25">
      <c r="A60" s="228">
        <v>1.55</v>
      </c>
      <c r="B60" s="240" t="s">
        <v>161</v>
      </c>
      <c r="C60" s="250" t="s">
        <v>17</v>
      </c>
      <c r="D60" s="237">
        <v>1</v>
      </c>
      <c r="E60" s="232">
        <v>47000</v>
      </c>
      <c r="F60" s="233">
        <v>41938</v>
      </c>
      <c r="G60" s="247">
        <f t="shared" si="0"/>
        <v>44469</v>
      </c>
    </row>
    <row r="61" spans="1:7" ht="25.5" x14ac:dyDescent="0.25">
      <c r="A61" s="228">
        <v>1.56</v>
      </c>
      <c r="B61" s="240" t="s">
        <v>339</v>
      </c>
      <c r="C61" s="250" t="s">
        <v>4</v>
      </c>
      <c r="D61" s="237">
        <v>1</v>
      </c>
      <c r="E61" s="232">
        <v>39807</v>
      </c>
      <c r="F61" s="233">
        <v>36346.699999999997</v>
      </c>
      <c r="G61" s="244">
        <f t="shared" si="0"/>
        <v>38076.85</v>
      </c>
    </row>
    <row r="62" spans="1:7" x14ac:dyDescent="0.25">
      <c r="A62" s="228">
        <v>1.57</v>
      </c>
      <c r="B62" s="240" t="s">
        <v>123</v>
      </c>
      <c r="C62" s="250" t="s">
        <v>121</v>
      </c>
      <c r="D62" s="237">
        <v>1</v>
      </c>
      <c r="E62" s="232">
        <v>112000</v>
      </c>
      <c r="F62" s="233">
        <v>79602.899999999994</v>
      </c>
      <c r="G62" s="247">
        <f t="shared" si="0"/>
        <v>95801.45</v>
      </c>
    </row>
    <row r="63" spans="1:7" x14ac:dyDescent="0.25">
      <c r="A63" s="228">
        <v>1.58</v>
      </c>
      <c r="B63" s="240" t="s">
        <v>162</v>
      </c>
      <c r="C63" s="250" t="s">
        <v>3</v>
      </c>
      <c r="D63" s="237">
        <v>1</v>
      </c>
      <c r="E63" s="232">
        <v>16842</v>
      </c>
      <c r="F63" s="233">
        <v>13699.4</v>
      </c>
      <c r="G63" s="247">
        <f t="shared" si="0"/>
        <v>15270.7</v>
      </c>
    </row>
    <row r="64" spans="1:7" x14ac:dyDescent="0.25">
      <c r="A64" s="251">
        <v>1.59</v>
      </c>
      <c r="B64" s="252" t="s">
        <v>340</v>
      </c>
      <c r="C64" s="253" t="s">
        <v>3</v>
      </c>
      <c r="D64" s="237">
        <v>1</v>
      </c>
      <c r="E64" s="232">
        <v>6500</v>
      </c>
      <c r="F64" s="233">
        <v>7150</v>
      </c>
      <c r="G64" s="247">
        <f t="shared" si="0"/>
        <v>6825</v>
      </c>
    </row>
    <row r="65" spans="1:7" x14ac:dyDescent="0.25">
      <c r="A65" s="251">
        <v>1.6</v>
      </c>
      <c r="B65" s="252" t="s">
        <v>341</v>
      </c>
      <c r="C65" s="253" t="s">
        <v>4</v>
      </c>
      <c r="D65" s="237">
        <v>1</v>
      </c>
      <c r="E65" s="232">
        <v>15000</v>
      </c>
      <c r="F65" s="233">
        <v>5070</v>
      </c>
      <c r="G65" s="247">
        <f t="shared" si="0"/>
        <v>10035</v>
      </c>
    </row>
    <row r="66" spans="1:7" x14ac:dyDescent="0.25">
      <c r="A66" s="254">
        <v>1.61</v>
      </c>
      <c r="B66" s="252" t="s">
        <v>342</v>
      </c>
      <c r="C66" s="253" t="s">
        <v>5</v>
      </c>
      <c r="D66" s="237">
        <v>1</v>
      </c>
      <c r="E66" s="232">
        <v>20000</v>
      </c>
      <c r="F66" s="233">
        <v>22100</v>
      </c>
      <c r="G66" s="247">
        <f t="shared" si="0"/>
        <v>21050</v>
      </c>
    </row>
    <row r="67" spans="1:7" x14ac:dyDescent="0.25">
      <c r="A67" s="254">
        <v>1.62</v>
      </c>
      <c r="B67" s="252" t="s">
        <v>343</v>
      </c>
      <c r="C67" s="253" t="s">
        <v>5</v>
      </c>
      <c r="D67" s="237">
        <v>1</v>
      </c>
      <c r="E67" s="232">
        <v>12700</v>
      </c>
      <c r="F67" s="233">
        <v>6934.2</v>
      </c>
      <c r="G67" s="247">
        <f t="shared" si="0"/>
        <v>9817.1</v>
      </c>
    </row>
    <row r="68" spans="1:7" x14ac:dyDescent="0.25">
      <c r="A68" s="254">
        <v>1.63</v>
      </c>
      <c r="B68" s="252" t="s">
        <v>344</v>
      </c>
      <c r="C68" s="253" t="s">
        <v>3</v>
      </c>
      <c r="D68" s="237">
        <v>1</v>
      </c>
      <c r="E68" s="232">
        <v>110000</v>
      </c>
      <c r="F68" s="233">
        <v>75400</v>
      </c>
      <c r="G68" s="247">
        <f t="shared" si="0"/>
        <v>92700</v>
      </c>
    </row>
    <row r="69" spans="1:7" ht="25.5" x14ac:dyDescent="0.25">
      <c r="A69" s="254">
        <v>1.64</v>
      </c>
      <c r="B69" s="252" t="s">
        <v>345</v>
      </c>
      <c r="C69" s="253" t="s">
        <v>4</v>
      </c>
      <c r="D69" s="237">
        <v>1</v>
      </c>
      <c r="E69" s="232">
        <v>80000</v>
      </c>
      <c r="F69" s="233">
        <v>111020</v>
      </c>
      <c r="G69" s="244">
        <f t="shared" si="0"/>
        <v>95510</v>
      </c>
    </row>
    <row r="70" spans="1:7" x14ac:dyDescent="0.25">
      <c r="A70" s="254">
        <v>1.65</v>
      </c>
      <c r="B70" s="252" t="s">
        <v>346</v>
      </c>
      <c r="C70" s="253" t="s">
        <v>5</v>
      </c>
      <c r="D70" s="237">
        <v>1</v>
      </c>
      <c r="E70" s="232">
        <v>5000</v>
      </c>
      <c r="F70" s="233">
        <v>33100.6</v>
      </c>
      <c r="G70" s="247">
        <f t="shared" si="0"/>
        <v>19050.3</v>
      </c>
    </row>
    <row r="71" spans="1:7" x14ac:dyDescent="0.25">
      <c r="A71" s="254">
        <v>1.66</v>
      </c>
      <c r="B71" s="252" t="s">
        <v>347</v>
      </c>
      <c r="C71" s="253" t="s">
        <v>5</v>
      </c>
      <c r="D71" s="237">
        <v>1</v>
      </c>
      <c r="E71" s="232">
        <v>4500</v>
      </c>
      <c r="F71" s="255">
        <v>463347.3</v>
      </c>
      <c r="G71" s="247">
        <f>(E71)/1</f>
        <v>4500</v>
      </c>
    </row>
    <row r="72" spans="1:7" ht="15.75" thickBot="1" x14ac:dyDescent="0.3">
      <c r="A72" s="256">
        <v>1.67</v>
      </c>
      <c r="B72" s="257" t="s">
        <v>348</v>
      </c>
      <c r="C72" s="258" t="s">
        <v>121</v>
      </c>
      <c r="D72" s="259">
        <v>1</v>
      </c>
      <c r="E72" s="260">
        <v>95000</v>
      </c>
      <c r="F72" s="261">
        <v>87100</v>
      </c>
      <c r="G72" s="262">
        <f t="shared" ref="G72:G133" si="1">(E72+F72)/2</f>
        <v>91050</v>
      </c>
    </row>
    <row r="73" spans="1:7" ht="16.5" thickBot="1" x14ac:dyDescent="0.3">
      <c r="A73" s="30"/>
      <c r="B73" s="31" t="s">
        <v>163</v>
      </c>
      <c r="C73" s="32"/>
      <c r="D73" s="263"/>
      <c r="E73" s="264">
        <f>SUM(E6:E72)</f>
        <v>2085739</v>
      </c>
      <c r="F73" s="265">
        <f>SUM(F6:F72)</f>
        <v>2086598.8</v>
      </c>
      <c r="G73" s="266">
        <f>SUM(G6:G72)</f>
        <v>1735185.7000000002</v>
      </c>
    </row>
    <row r="74" spans="1:7" ht="15.75" x14ac:dyDescent="0.25">
      <c r="A74" s="267">
        <v>2</v>
      </c>
      <c r="B74" s="268" t="s">
        <v>119</v>
      </c>
      <c r="C74" s="269"/>
      <c r="D74" s="270"/>
      <c r="E74" s="271"/>
      <c r="F74" s="272"/>
      <c r="G74" s="273"/>
    </row>
    <row r="75" spans="1:7" x14ac:dyDescent="0.25">
      <c r="A75" s="228">
        <v>2.0099999999999998</v>
      </c>
      <c r="B75" s="238" t="s">
        <v>120</v>
      </c>
      <c r="C75" s="236" t="s">
        <v>121</v>
      </c>
      <c r="D75" s="237">
        <v>1</v>
      </c>
      <c r="E75" s="232">
        <v>1012000</v>
      </c>
      <c r="F75" s="233">
        <v>794300</v>
      </c>
      <c r="G75" s="247">
        <f t="shared" si="1"/>
        <v>903150</v>
      </c>
    </row>
    <row r="76" spans="1:7" x14ac:dyDescent="0.25">
      <c r="A76" s="228">
        <v>2.02</v>
      </c>
      <c r="B76" s="238" t="s">
        <v>122</v>
      </c>
      <c r="C76" s="236" t="s">
        <v>121</v>
      </c>
      <c r="D76" s="237">
        <v>1</v>
      </c>
      <c r="E76" s="232">
        <v>1382686</v>
      </c>
      <c r="F76" s="233">
        <v>855400</v>
      </c>
      <c r="G76" s="247">
        <f t="shared" si="1"/>
        <v>1119043</v>
      </c>
    </row>
    <row r="77" spans="1:7" x14ac:dyDescent="0.25">
      <c r="A77" s="228">
        <v>2.0299999999999998</v>
      </c>
      <c r="B77" s="238" t="s">
        <v>92</v>
      </c>
      <c r="C77" s="236" t="s">
        <v>17</v>
      </c>
      <c r="D77" s="237">
        <v>1</v>
      </c>
      <c r="E77" s="232">
        <v>44783</v>
      </c>
      <c r="F77" s="233">
        <v>36626.199999999997</v>
      </c>
      <c r="G77" s="247">
        <f t="shared" si="1"/>
        <v>40704.6</v>
      </c>
    </row>
    <row r="78" spans="1:7" ht="25.5" x14ac:dyDescent="0.25">
      <c r="A78" s="254">
        <v>2.04</v>
      </c>
      <c r="B78" s="240" t="s">
        <v>349</v>
      </c>
      <c r="C78" s="253" t="s">
        <v>5</v>
      </c>
      <c r="D78" s="237">
        <v>1</v>
      </c>
      <c r="E78" s="232">
        <v>78350</v>
      </c>
      <c r="F78" s="233">
        <v>49790</v>
      </c>
      <c r="G78" s="244">
        <f t="shared" si="1"/>
        <v>64070</v>
      </c>
    </row>
    <row r="79" spans="1:7" ht="25.5" x14ac:dyDescent="0.25">
      <c r="A79" s="254">
        <v>2.0499999999999998</v>
      </c>
      <c r="B79" s="240" t="s">
        <v>350</v>
      </c>
      <c r="C79" s="253" t="s">
        <v>5</v>
      </c>
      <c r="D79" s="237">
        <v>1</v>
      </c>
      <c r="E79" s="232">
        <v>86320</v>
      </c>
      <c r="F79" s="233">
        <v>53300</v>
      </c>
      <c r="G79" s="244">
        <f t="shared" si="1"/>
        <v>69810</v>
      </c>
    </row>
    <row r="80" spans="1:7" ht="26.25" thickBot="1" x14ac:dyDescent="0.3">
      <c r="A80" s="256">
        <v>2.06</v>
      </c>
      <c r="B80" s="274" t="s">
        <v>351</v>
      </c>
      <c r="C80" s="258" t="s">
        <v>3</v>
      </c>
      <c r="D80" s="259">
        <v>1</v>
      </c>
      <c r="E80" s="260">
        <v>98900</v>
      </c>
      <c r="F80" s="261">
        <v>115889.8</v>
      </c>
      <c r="G80" s="275">
        <f t="shared" si="1"/>
        <v>107394.9</v>
      </c>
    </row>
    <row r="81" spans="1:7" ht="16.5" thickBot="1" x14ac:dyDescent="0.3">
      <c r="A81" s="30"/>
      <c r="B81" s="31" t="s">
        <v>164</v>
      </c>
      <c r="C81" s="32"/>
      <c r="D81" s="263"/>
      <c r="E81" s="264">
        <f>SUM(E75:E80)</f>
        <v>2703039</v>
      </c>
      <c r="F81" s="265">
        <f>SUM(F75:F80)</f>
        <v>1905306</v>
      </c>
      <c r="G81" s="266">
        <f>SUM(G75:G80)</f>
        <v>2304172.5</v>
      </c>
    </row>
    <row r="82" spans="1:7" ht="15.75" x14ac:dyDescent="0.25">
      <c r="A82" s="267">
        <v>3</v>
      </c>
      <c r="B82" s="268" t="s">
        <v>165</v>
      </c>
      <c r="C82" s="276"/>
      <c r="D82" s="277"/>
      <c r="E82" s="278"/>
      <c r="F82" s="279"/>
      <c r="G82" s="273"/>
    </row>
    <row r="83" spans="1:7" x14ac:dyDescent="0.25">
      <c r="A83" s="228">
        <v>3.01</v>
      </c>
      <c r="B83" s="238" t="s">
        <v>166</v>
      </c>
      <c r="C83" s="236" t="s">
        <v>3</v>
      </c>
      <c r="D83" s="237">
        <v>1</v>
      </c>
      <c r="E83" s="232">
        <v>55528</v>
      </c>
      <c r="F83" s="233">
        <v>40552.199999999997</v>
      </c>
      <c r="G83" s="247">
        <f t="shared" si="1"/>
        <v>48040.1</v>
      </c>
    </row>
    <row r="84" spans="1:7" x14ac:dyDescent="0.25">
      <c r="A84" s="228">
        <v>3.02</v>
      </c>
      <c r="B84" s="238" t="s">
        <v>55</v>
      </c>
      <c r="C84" s="236" t="s">
        <v>3</v>
      </c>
      <c r="D84" s="237">
        <v>1</v>
      </c>
      <c r="E84" s="232">
        <v>55033</v>
      </c>
      <c r="F84" s="233">
        <v>36531.300000000003</v>
      </c>
      <c r="G84" s="247">
        <f t="shared" si="1"/>
        <v>45782.15</v>
      </c>
    </row>
    <row r="85" spans="1:7" ht="15.75" thickBot="1" x14ac:dyDescent="0.3">
      <c r="A85" s="280">
        <v>3.03</v>
      </c>
      <c r="B85" s="281" t="s">
        <v>93</v>
      </c>
      <c r="C85" s="282" t="s">
        <v>3</v>
      </c>
      <c r="D85" s="259">
        <v>1</v>
      </c>
      <c r="E85" s="260">
        <v>75693</v>
      </c>
      <c r="F85" s="261">
        <v>45433.7</v>
      </c>
      <c r="G85" s="262">
        <f t="shared" si="1"/>
        <v>60563.35</v>
      </c>
    </row>
    <row r="86" spans="1:7" ht="16.5" thickBot="1" x14ac:dyDescent="0.3">
      <c r="A86" s="30"/>
      <c r="B86" s="31" t="s">
        <v>167</v>
      </c>
      <c r="C86" s="39"/>
      <c r="D86" s="283"/>
      <c r="E86" s="264">
        <f>SUM(E83:E85)</f>
        <v>186254</v>
      </c>
      <c r="F86" s="265">
        <f>SUM(F83:F85)</f>
        <v>122517.2</v>
      </c>
      <c r="G86" s="266">
        <f>SUM(G83:G85)</f>
        <v>154385.60000000001</v>
      </c>
    </row>
    <row r="87" spans="1:7" ht="15.75" x14ac:dyDescent="0.25">
      <c r="A87" s="267">
        <v>4</v>
      </c>
      <c r="B87" s="268" t="s">
        <v>168</v>
      </c>
      <c r="C87" s="269"/>
      <c r="D87" s="270"/>
      <c r="E87" s="271"/>
      <c r="F87" s="272"/>
      <c r="G87" s="273"/>
    </row>
    <row r="88" spans="1:7" x14ac:dyDescent="0.25">
      <c r="A88" s="228">
        <v>4.01</v>
      </c>
      <c r="B88" s="240" t="s">
        <v>94</v>
      </c>
      <c r="C88" s="236" t="s">
        <v>5</v>
      </c>
      <c r="D88" s="237">
        <v>1</v>
      </c>
      <c r="E88" s="232">
        <v>45690</v>
      </c>
      <c r="F88" s="233">
        <v>39143</v>
      </c>
      <c r="G88" s="247">
        <f t="shared" si="1"/>
        <v>42416.5</v>
      </c>
    </row>
    <row r="89" spans="1:7" x14ac:dyDescent="0.25">
      <c r="A89" s="228">
        <v>4.0199999999999996</v>
      </c>
      <c r="B89" s="240" t="s">
        <v>56</v>
      </c>
      <c r="C89" s="236" t="s">
        <v>3</v>
      </c>
      <c r="D89" s="237">
        <v>1</v>
      </c>
      <c r="E89" s="232">
        <v>44910</v>
      </c>
      <c r="F89" s="233">
        <v>14748.5</v>
      </c>
      <c r="G89" s="247">
        <f t="shared" si="1"/>
        <v>29829.25</v>
      </c>
    </row>
    <row r="90" spans="1:7" ht="38.25" x14ac:dyDescent="0.25">
      <c r="A90" s="228">
        <v>4.03</v>
      </c>
      <c r="B90" s="240" t="s">
        <v>352</v>
      </c>
      <c r="C90" s="236" t="s">
        <v>5</v>
      </c>
      <c r="D90" s="237">
        <v>1</v>
      </c>
      <c r="E90" s="232">
        <v>16842</v>
      </c>
      <c r="F90" s="233">
        <v>12097.8</v>
      </c>
      <c r="G90" s="244">
        <f t="shared" si="1"/>
        <v>14469.9</v>
      </c>
    </row>
    <row r="91" spans="1:7" x14ac:dyDescent="0.25">
      <c r="A91" s="228">
        <v>4.04</v>
      </c>
      <c r="B91" s="238" t="s">
        <v>54</v>
      </c>
      <c r="C91" s="236" t="s">
        <v>3</v>
      </c>
      <c r="D91" s="237">
        <v>1</v>
      </c>
      <c r="E91" s="232">
        <v>34670</v>
      </c>
      <c r="F91" s="233">
        <v>26094.9</v>
      </c>
      <c r="G91" s="247">
        <f t="shared" si="1"/>
        <v>30382.45</v>
      </c>
    </row>
    <row r="92" spans="1:7" ht="15.75" thickBot="1" x14ac:dyDescent="0.3">
      <c r="A92" s="256">
        <v>4.05</v>
      </c>
      <c r="B92" s="257" t="s">
        <v>353</v>
      </c>
      <c r="C92" s="258" t="s">
        <v>3</v>
      </c>
      <c r="D92" s="259">
        <v>1</v>
      </c>
      <c r="E92" s="260">
        <v>51418</v>
      </c>
      <c r="F92" s="261">
        <v>54447.93</v>
      </c>
      <c r="G92" s="262">
        <f t="shared" si="1"/>
        <v>52932.964999999997</v>
      </c>
    </row>
    <row r="93" spans="1:7" ht="16.5" thickBot="1" x14ac:dyDescent="0.3">
      <c r="A93" s="30"/>
      <c r="B93" s="42" t="s">
        <v>169</v>
      </c>
      <c r="C93" s="39"/>
      <c r="D93" s="283"/>
      <c r="E93" s="264">
        <f>SUM(E88:E92)</f>
        <v>193530</v>
      </c>
      <c r="F93" s="265">
        <f>SUM(F88:F92)</f>
        <v>146532.13</v>
      </c>
      <c r="G93" s="266">
        <f>SUM(G88:G92)</f>
        <v>170031.065</v>
      </c>
    </row>
    <row r="94" spans="1:7" ht="15.75" x14ac:dyDescent="0.25">
      <c r="A94" s="267">
        <v>5</v>
      </c>
      <c r="B94" s="268" t="s">
        <v>31</v>
      </c>
      <c r="C94" s="269"/>
      <c r="D94" s="270"/>
      <c r="E94" s="271"/>
      <c r="F94" s="272"/>
      <c r="G94" s="273"/>
    </row>
    <row r="95" spans="1:7" x14ac:dyDescent="0.25">
      <c r="A95" s="228">
        <v>5.01</v>
      </c>
      <c r="B95" s="238" t="s">
        <v>354</v>
      </c>
      <c r="C95" s="236" t="s">
        <v>3</v>
      </c>
      <c r="D95" s="237">
        <v>1</v>
      </c>
      <c r="E95" s="232">
        <v>37000</v>
      </c>
      <c r="F95" s="233">
        <v>40430</v>
      </c>
      <c r="G95" s="247">
        <f t="shared" si="1"/>
        <v>38715</v>
      </c>
    </row>
    <row r="96" spans="1:7" x14ac:dyDescent="0.25">
      <c r="A96" s="228">
        <v>5.0199999999999996</v>
      </c>
      <c r="B96" s="238" t="s">
        <v>29</v>
      </c>
      <c r="C96" s="236" t="s">
        <v>3</v>
      </c>
      <c r="D96" s="237">
        <v>1</v>
      </c>
      <c r="E96" s="232">
        <v>132700</v>
      </c>
      <c r="F96" s="233">
        <v>68030.3</v>
      </c>
      <c r="G96" s="247">
        <f t="shared" si="1"/>
        <v>100365.15</v>
      </c>
    </row>
    <row r="97" spans="1:7" x14ac:dyDescent="0.25">
      <c r="A97" s="228">
        <v>5.03</v>
      </c>
      <c r="B97" s="238" t="s">
        <v>30</v>
      </c>
      <c r="C97" s="236" t="s">
        <v>3</v>
      </c>
      <c r="D97" s="237">
        <v>1</v>
      </c>
      <c r="E97" s="232">
        <v>117381</v>
      </c>
      <c r="F97" s="233">
        <v>39644.800000000003</v>
      </c>
      <c r="G97" s="247">
        <f t="shared" si="1"/>
        <v>78512.899999999994</v>
      </c>
    </row>
    <row r="98" spans="1:7" ht="25.5" x14ac:dyDescent="0.25">
      <c r="A98" s="228">
        <v>5.04</v>
      </c>
      <c r="B98" s="240" t="s">
        <v>170</v>
      </c>
      <c r="C98" s="236" t="s">
        <v>5</v>
      </c>
      <c r="D98" s="237">
        <v>1</v>
      </c>
      <c r="E98" s="232">
        <v>46825</v>
      </c>
      <c r="F98" s="233">
        <v>25892.1</v>
      </c>
      <c r="G98" s="244">
        <f t="shared" si="1"/>
        <v>36358.550000000003</v>
      </c>
    </row>
    <row r="99" spans="1:7" x14ac:dyDescent="0.25">
      <c r="A99" s="228">
        <v>5.05</v>
      </c>
      <c r="B99" s="238" t="s">
        <v>24</v>
      </c>
      <c r="C99" s="246" t="s">
        <v>3</v>
      </c>
      <c r="D99" s="237">
        <v>1</v>
      </c>
      <c r="E99" s="232">
        <v>132700</v>
      </c>
      <c r="F99" s="233">
        <v>87270.3</v>
      </c>
      <c r="G99" s="247">
        <f t="shared" si="1"/>
        <v>109985.15</v>
      </c>
    </row>
    <row r="100" spans="1:7" ht="38.25" x14ac:dyDescent="0.25">
      <c r="A100" s="228">
        <v>5.0599999999999996</v>
      </c>
      <c r="B100" s="284" t="s">
        <v>355</v>
      </c>
      <c r="C100" s="285" t="s">
        <v>3</v>
      </c>
      <c r="D100" s="237">
        <v>1</v>
      </c>
      <c r="E100" s="232">
        <v>142000</v>
      </c>
      <c r="F100" s="233">
        <v>68499.600000000006</v>
      </c>
      <c r="G100" s="247">
        <f t="shared" si="1"/>
        <v>105249.8</v>
      </c>
    </row>
    <row r="101" spans="1:7" x14ac:dyDescent="0.25">
      <c r="A101" s="228">
        <v>5.07</v>
      </c>
      <c r="B101" s="238" t="s">
        <v>171</v>
      </c>
      <c r="C101" s="248" t="s">
        <v>3</v>
      </c>
      <c r="D101" s="237">
        <v>1</v>
      </c>
      <c r="E101" s="232">
        <v>108449</v>
      </c>
      <c r="F101" s="233">
        <v>76887.199999999997</v>
      </c>
      <c r="G101" s="247">
        <f t="shared" si="1"/>
        <v>92668.1</v>
      </c>
    </row>
    <row r="102" spans="1:7" x14ac:dyDescent="0.25">
      <c r="A102" s="228">
        <v>5.08</v>
      </c>
      <c r="B102" s="238" t="s">
        <v>172</v>
      </c>
      <c r="C102" s="248" t="s">
        <v>3</v>
      </c>
      <c r="D102" s="237">
        <v>1</v>
      </c>
      <c r="E102" s="232">
        <v>117381</v>
      </c>
      <c r="F102" s="233">
        <v>83877.3</v>
      </c>
      <c r="G102" s="247">
        <f t="shared" si="1"/>
        <v>100629.15</v>
      </c>
    </row>
    <row r="103" spans="1:7" x14ac:dyDescent="0.25">
      <c r="A103" s="228">
        <v>5.09</v>
      </c>
      <c r="B103" s="238" t="s">
        <v>100</v>
      </c>
      <c r="C103" s="246" t="s">
        <v>5</v>
      </c>
      <c r="D103" s="237">
        <v>1</v>
      </c>
      <c r="E103" s="232">
        <v>58691</v>
      </c>
      <c r="F103" s="233">
        <v>44734.3</v>
      </c>
      <c r="G103" s="247">
        <f t="shared" si="1"/>
        <v>51712.65</v>
      </c>
    </row>
    <row r="104" spans="1:7" x14ac:dyDescent="0.25">
      <c r="A104" s="228">
        <v>5.0999999999999996</v>
      </c>
      <c r="B104" s="238" t="s">
        <v>101</v>
      </c>
      <c r="C104" s="246" t="s">
        <v>3</v>
      </c>
      <c r="D104" s="237">
        <v>1</v>
      </c>
      <c r="E104" s="232">
        <v>53587</v>
      </c>
      <c r="F104" s="233">
        <v>39143</v>
      </c>
      <c r="G104" s="247">
        <f t="shared" si="1"/>
        <v>46365</v>
      </c>
    </row>
    <row r="105" spans="1:7" x14ac:dyDescent="0.25">
      <c r="A105" s="228">
        <v>5.1100000000000003</v>
      </c>
      <c r="B105" s="238" t="s">
        <v>173</v>
      </c>
      <c r="C105" s="246" t="s">
        <v>5</v>
      </c>
      <c r="D105" s="237">
        <v>1</v>
      </c>
      <c r="E105" s="232">
        <v>46825</v>
      </c>
      <c r="F105" s="233">
        <v>34949.199999999997</v>
      </c>
      <c r="G105" s="247">
        <f t="shared" si="1"/>
        <v>40887.1</v>
      </c>
    </row>
    <row r="106" spans="1:7" x14ac:dyDescent="0.25">
      <c r="A106" s="228">
        <v>5.12</v>
      </c>
      <c r="B106" s="238" t="s">
        <v>174</v>
      </c>
      <c r="C106" s="246" t="s">
        <v>3</v>
      </c>
      <c r="D106" s="237">
        <v>1</v>
      </c>
      <c r="E106" s="232">
        <v>207074</v>
      </c>
      <c r="F106" s="233">
        <v>153775.70000000001</v>
      </c>
      <c r="G106" s="247">
        <f t="shared" si="1"/>
        <v>180424.85</v>
      </c>
    </row>
    <row r="107" spans="1:7" x14ac:dyDescent="0.25">
      <c r="A107" s="228">
        <v>5.13</v>
      </c>
      <c r="B107" s="284" t="s">
        <v>175</v>
      </c>
      <c r="C107" s="236" t="s">
        <v>5</v>
      </c>
      <c r="D107" s="237">
        <v>1</v>
      </c>
      <c r="E107" s="232">
        <v>46570</v>
      </c>
      <c r="F107" s="233">
        <v>23765.3</v>
      </c>
      <c r="G107" s="247">
        <f t="shared" si="1"/>
        <v>35167.65</v>
      </c>
    </row>
    <row r="108" spans="1:7" x14ac:dyDescent="0.25">
      <c r="A108" s="228">
        <v>5.14</v>
      </c>
      <c r="B108" s="284" t="s">
        <v>176</v>
      </c>
      <c r="C108" s="236" t="s">
        <v>3</v>
      </c>
      <c r="D108" s="237">
        <v>1</v>
      </c>
      <c r="E108" s="232">
        <v>19393</v>
      </c>
      <c r="F108" s="233">
        <v>11182.6</v>
      </c>
      <c r="G108" s="247">
        <f t="shared" si="1"/>
        <v>15287.8</v>
      </c>
    </row>
    <row r="109" spans="1:7" ht="25.5" x14ac:dyDescent="0.25">
      <c r="A109" s="228">
        <v>5.15</v>
      </c>
      <c r="B109" s="284" t="s">
        <v>177</v>
      </c>
      <c r="C109" s="236" t="s">
        <v>5</v>
      </c>
      <c r="D109" s="237">
        <v>1</v>
      </c>
      <c r="E109" s="232">
        <v>70938</v>
      </c>
      <c r="F109" s="233">
        <v>44734.3</v>
      </c>
      <c r="G109" s="244">
        <f t="shared" si="1"/>
        <v>57836.15</v>
      </c>
    </row>
    <row r="110" spans="1:7" x14ac:dyDescent="0.25">
      <c r="A110" s="228">
        <v>5.16</v>
      </c>
      <c r="B110" s="240" t="s">
        <v>178</v>
      </c>
      <c r="C110" s="236" t="s">
        <v>3</v>
      </c>
      <c r="D110" s="237">
        <v>1</v>
      </c>
      <c r="E110" s="232">
        <v>168926</v>
      </c>
      <c r="F110" s="233">
        <v>118826.5</v>
      </c>
      <c r="G110" s="247">
        <f t="shared" si="1"/>
        <v>143876.25</v>
      </c>
    </row>
    <row r="111" spans="1:7" x14ac:dyDescent="0.25">
      <c r="A111" s="228">
        <v>5.17</v>
      </c>
      <c r="B111" s="240" t="s">
        <v>179</v>
      </c>
      <c r="C111" s="236" t="s">
        <v>3</v>
      </c>
      <c r="D111" s="237">
        <v>1</v>
      </c>
      <c r="E111" s="232">
        <v>200057</v>
      </c>
      <c r="F111" s="233">
        <v>146785.60000000001</v>
      </c>
      <c r="G111" s="247">
        <f t="shared" si="1"/>
        <v>173421.3</v>
      </c>
    </row>
    <row r="112" spans="1:7" x14ac:dyDescent="0.25">
      <c r="A112" s="228">
        <v>5.18</v>
      </c>
      <c r="B112" s="240" t="s">
        <v>180</v>
      </c>
      <c r="C112" s="236" t="s">
        <v>3</v>
      </c>
      <c r="D112" s="237">
        <v>1</v>
      </c>
      <c r="E112" s="232">
        <v>71832</v>
      </c>
      <c r="F112" s="233">
        <v>48928.1</v>
      </c>
      <c r="G112" s="247">
        <f t="shared" si="1"/>
        <v>60380.05</v>
      </c>
    </row>
    <row r="113" spans="1:7" x14ac:dyDescent="0.25">
      <c r="A113" s="228">
        <v>5.19</v>
      </c>
      <c r="B113" s="240" t="s">
        <v>181</v>
      </c>
      <c r="C113" s="236" t="s">
        <v>5</v>
      </c>
      <c r="D113" s="237">
        <v>1</v>
      </c>
      <c r="E113" s="232">
        <v>83825</v>
      </c>
      <c r="F113" s="233">
        <v>62908.3</v>
      </c>
      <c r="G113" s="247">
        <f t="shared" si="1"/>
        <v>73366.649999999994</v>
      </c>
    </row>
    <row r="114" spans="1:7" x14ac:dyDescent="0.25">
      <c r="A114" s="228">
        <v>5.2</v>
      </c>
      <c r="B114" s="240" t="s">
        <v>182</v>
      </c>
      <c r="C114" s="236" t="s">
        <v>3</v>
      </c>
      <c r="D114" s="237">
        <v>1</v>
      </c>
      <c r="E114" s="232">
        <v>395522</v>
      </c>
      <c r="F114" s="233">
        <v>219960</v>
      </c>
      <c r="G114" s="247">
        <f t="shared" si="1"/>
        <v>307741</v>
      </c>
    </row>
    <row r="115" spans="1:7" x14ac:dyDescent="0.25">
      <c r="A115" s="228">
        <v>5.21</v>
      </c>
      <c r="B115" s="249" t="s">
        <v>102</v>
      </c>
      <c r="C115" s="236" t="s">
        <v>5</v>
      </c>
      <c r="D115" s="237">
        <v>1</v>
      </c>
      <c r="E115" s="232">
        <v>15311</v>
      </c>
      <c r="F115" s="233">
        <v>10484.5</v>
      </c>
      <c r="G115" s="247">
        <f t="shared" si="1"/>
        <v>12897.75</v>
      </c>
    </row>
    <row r="116" spans="1:7" x14ac:dyDescent="0.25">
      <c r="A116" s="228">
        <v>5.22</v>
      </c>
      <c r="B116" s="249" t="s">
        <v>183</v>
      </c>
      <c r="C116" s="236" t="s">
        <v>3</v>
      </c>
      <c r="D116" s="237">
        <v>1</v>
      </c>
      <c r="E116" s="232">
        <v>459315</v>
      </c>
      <c r="F116" s="233">
        <v>349492</v>
      </c>
      <c r="G116" s="247">
        <f t="shared" si="1"/>
        <v>404403.5</v>
      </c>
    </row>
    <row r="117" spans="1:7" x14ac:dyDescent="0.25">
      <c r="A117" s="228">
        <v>5.23</v>
      </c>
      <c r="B117" s="249" t="s">
        <v>103</v>
      </c>
      <c r="C117" s="236" t="s">
        <v>5</v>
      </c>
      <c r="D117" s="237">
        <v>1</v>
      </c>
      <c r="E117" s="232">
        <v>82932</v>
      </c>
      <c r="F117" s="233">
        <v>65703.3</v>
      </c>
      <c r="G117" s="247">
        <f t="shared" si="1"/>
        <v>74317.649999999994</v>
      </c>
    </row>
    <row r="118" spans="1:7" x14ac:dyDescent="0.25">
      <c r="A118" s="228">
        <v>5.24</v>
      </c>
      <c r="B118" s="249" t="s">
        <v>184</v>
      </c>
      <c r="C118" s="236" t="s">
        <v>5</v>
      </c>
      <c r="D118" s="237">
        <v>1</v>
      </c>
      <c r="E118" s="232">
        <v>27177</v>
      </c>
      <c r="F118" s="233">
        <v>16775.2</v>
      </c>
      <c r="G118" s="247">
        <f t="shared" si="1"/>
        <v>21976.1</v>
      </c>
    </row>
    <row r="119" spans="1:7" x14ac:dyDescent="0.25">
      <c r="A119" s="228">
        <v>5.25</v>
      </c>
      <c r="B119" s="249" t="s">
        <v>104</v>
      </c>
      <c r="C119" s="236" t="s">
        <v>3</v>
      </c>
      <c r="D119" s="237">
        <v>1</v>
      </c>
      <c r="E119" s="232">
        <v>210520</v>
      </c>
      <c r="F119" s="233">
        <v>160765.79999999999</v>
      </c>
      <c r="G119" s="247">
        <f t="shared" si="1"/>
        <v>185642.9</v>
      </c>
    </row>
    <row r="120" spans="1:7" ht="38.25" x14ac:dyDescent="0.25">
      <c r="A120" s="228">
        <v>5.26</v>
      </c>
      <c r="B120" s="249" t="s">
        <v>356</v>
      </c>
      <c r="C120" s="236" t="s">
        <v>3</v>
      </c>
      <c r="D120" s="237">
        <v>1</v>
      </c>
      <c r="E120" s="260">
        <v>123377</v>
      </c>
      <c r="F120" s="261">
        <v>100652.5</v>
      </c>
      <c r="G120" s="244">
        <f t="shared" si="1"/>
        <v>112014.75</v>
      </c>
    </row>
    <row r="121" spans="1:7" x14ac:dyDescent="0.25">
      <c r="A121" s="254">
        <v>5.27</v>
      </c>
      <c r="B121" s="252" t="s">
        <v>357</v>
      </c>
      <c r="C121" s="253" t="s">
        <v>3</v>
      </c>
      <c r="D121" s="237">
        <v>1</v>
      </c>
      <c r="E121" s="232">
        <v>168926</v>
      </c>
      <c r="F121" s="233">
        <v>64988.3</v>
      </c>
      <c r="G121" s="247">
        <f t="shared" si="1"/>
        <v>116957.15</v>
      </c>
    </row>
    <row r="122" spans="1:7" x14ac:dyDescent="0.25">
      <c r="A122" s="228">
        <v>5.28</v>
      </c>
      <c r="B122" s="240" t="s">
        <v>358</v>
      </c>
      <c r="C122" s="236" t="s">
        <v>5</v>
      </c>
      <c r="D122" s="237">
        <v>1</v>
      </c>
      <c r="E122" s="232">
        <v>83825</v>
      </c>
      <c r="F122" s="233">
        <v>33696</v>
      </c>
      <c r="G122" s="247">
        <f t="shared" si="1"/>
        <v>58760.5</v>
      </c>
    </row>
    <row r="123" spans="1:7" ht="25.5" x14ac:dyDescent="0.25">
      <c r="A123" s="254">
        <v>5.29</v>
      </c>
      <c r="B123" s="252" t="s">
        <v>359</v>
      </c>
      <c r="C123" s="253" t="s">
        <v>121</v>
      </c>
      <c r="D123" s="237">
        <v>1</v>
      </c>
      <c r="E123" s="232">
        <v>78000</v>
      </c>
      <c r="F123" s="255">
        <v>163256.6</v>
      </c>
      <c r="G123" s="244">
        <f>(E123)/1</f>
        <v>78000</v>
      </c>
    </row>
    <row r="124" spans="1:7" x14ac:dyDescent="0.25">
      <c r="A124" s="251">
        <v>5.3</v>
      </c>
      <c r="B124" s="252" t="s">
        <v>360</v>
      </c>
      <c r="C124" s="253" t="s">
        <v>5</v>
      </c>
      <c r="D124" s="237">
        <v>1</v>
      </c>
      <c r="E124" s="232">
        <v>7800</v>
      </c>
      <c r="F124" s="233">
        <v>6500</v>
      </c>
      <c r="G124" s="247">
        <f t="shared" si="1"/>
        <v>7150</v>
      </c>
    </row>
    <row r="125" spans="1:7" ht="15.75" thickBot="1" x14ac:dyDescent="0.3">
      <c r="A125" s="256">
        <v>5.31</v>
      </c>
      <c r="B125" s="257" t="s">
        <v>361</v>
      </c>
      <c r="C125" s="258" t="s">
        <v>5</v>
      </c>
      <c r="D125" s="259">
        <v>1</v>
      </c>
      <c r="E125" s="260">
        <v>68000</v>
      </c>
      <c r="F125" s="261">
        <v>75930.399999999994</v>
      </c>
      <c r="G125" s="262">
        <f t="shared" si="1"/>
        <v>71965.2</v>
      </c>
    </row>
    <row r="126" spans="1:7" ht="16.5" thickBot="1" x14ac:dyDescent="0.3">
      <c r="A126" s="30"/>
      <c r="B126" s="42" t="s">
        <v>185</v>
      </c>
      <c r="C126" s="39"/>
      <c r="D126" s="283"/>
      <c r="E126" s="264">
        <f>SUM(E95:E125)</f>
        <v>3582859</v>
      </c>
      <c r="F126" s="265">
        <f>SUM(F95:F125)</f>
        <v>2488469.1</v>
      </c>
      <c r="G126" s="266">
        <f>SUM(G95:G125)</f>
        <v>2993035.75</v>
      </c>
    </row>
    <row r="127" spans="1:7" ht="15.75" x14ac:dyDescent="0.25">
      <c r="A127" s="267">
        <v>6</v>
      </c>
      <c r="B127" s="268" t="s">
        <v>186</v>
      </c>
      <c r="C127" s="269"/>
      <c r="D127" s="270"/>
      <c r="E127" s="271"/>
      <c r="F127" s="272"/>
      <c r="G127" s="273"/>
    </row>
    <row r="128" spans="1:7" x14ac:dyDescent="0.25">
      <c r="A128" s="228">
        <v>6.01</v>
      </c>
      <c r="B128" s="240" t="s">
        <v>10</v>
      </c>
      <c r="C128" s="236" t="s">
        <v>5</v>
      </c>
      <c r="D128" s="237">
        <v>1</v>
      </c>
      <c r="E128" s="232">
        <v>85000</v>
      </c>
      <c r="F128" s="233">
        <v>49017.8</v>
      </c>
      <c r="G128" s="244">
        <f t="shared" si="1"/>
        <v>67008.899999999994</v>
      </c>
    </row>
    <row r="129" spans="1:7" ht="25.5" x14ac:dyDescent="0.25">
      <c r="A129" s="228">
        <v>6.02</v>
      </c>
      <c r="B129" s="284" t="s">
        <v>187</v>
      </c>
      <c r="C129" s="236" t="s">
        <v>4</v>
      </c>
      <c r="D129" s="237">
        <v>1</v>
      </c>
      <c r="E129" s="232">
        <v>850000</v>
      </c>
      <c r="F129" s="233">
        <v>611000</v>
      </c>
      <c r="G129" s="244">
        <f t="shared" si="1"/>
        <v>730500</v>
      </c>
    </row>
    <row r="130" spans="1:7" ht="25.5" x14ac:dyDescent="0.25">
      <c r="A130" s="228">
        <v>6.03</v>
      </c>
      <c r="B130" s="284" t="s">
        <v>32</v>
      </c>
      <c r="C130" s="236" t="s">
        <v>3</v>
      </c>
      <c r="D130" s="237">
        <v>1</v>
      </c>
      <c r="E130" s="239">
        <v>941220</v>
      </c>
      <c r="F130" s="233">
        <v>199452.5</v>
      </c>
      <c r="G130" s="244">
        <f>(F130)/1</f>
        <v>199452.5</v>
      </c>
    </row>
    <row r="131" spans="1:7" ht="25.5" x14ac:dyDescent="0.25">
      <c r="A131" s="228">
        <v>6.04</v>
      </c>
      <c r="B131" s="286" t="s">
        <v>33</v>
      </c>
      <c r="C131" s="236" t="s">
        <v>3</v>
      </c>
      <c r="D131" s="237">
        <v>1</v>
      </c>
      <c r="E131" s="239">
        <v>210000</v>
      </c>
      <c r="F131" s="233">
        <v>25873.9</v>
      </c>
      <c r="G131" s="244">
        <f>(F131)/1</f>
        <v>25873.9</v>
      </c>
    </row>
    <row r="132" spans="1:7" ht="25.5" x14ac:dyDescent="0.25">
      <c r="A132" s="228">
        <v>6.05</v>
      </c>
      <c r="B132" s="284" t="s">
        <v>188</v>
      </c>
      <c r="C132" s="236" t="s">
        <v>5</v>
      </c>
      <c r="D132" s="237">
        <v>1</v>
      </c>
      <c r="E132" s="239">
        <v>172300</v>
      </c>
      <c r="F132" s="233">
        <v>37329.5</v>
      </c>
      <c r="G132" s="244">
        <f>(F132)/1</f>
        <v>37329.5</v>
      </c>
    </row>
    <row r="133" spans="1:7" x14ac:dyDescent="0.25">
      <c r="A133" s="228">
        <v>6.06</v>
      </c>
      <c r="B133" s="284" t="s">
        <v>189</v>
      </c>
      <c r="C133" s="236" t="s">
        <v>3</v>
      </c>
      <c r="D133" s="237">
        <v>1</v>
      </c>
      <c r="E133" s="232">
        <v>86530</v>
      </c>
      <c r="F133" s="233">
        <v>70115.5</v>
      </c>
      <c r="G133" s="244">
        <f t="shared" si="1"/>
        <v>78322.75</v>
      </c>
    </row>
    <row r="134" spans="1:7" ht="25.5" x14ac:dyDescent="0.25">
      <c r="A134" s="228">
        <v>6.07</v>
      </c>
      <c r="B134" s="284" t="s">
        <v>190</v>
      </c>
      <c r="C134" s="236" t="s">
        <v>5</v>
      </c>
      <c r="D134" s="237">
        <v>1</v>
      </c>
      <c r="E134" s="232">
        <v>134900</v>
      </c>
      <c r="F134" s="255">
        <v>324751.7</v>
      </c>
      <c r="G134" s="244">
        <f>(E134)/1</f>
        <v>134900</v>
      </c>
    </row>
    <row r="135" spans="1:7" x14ac:dyDescent="0.25">
      <c r="A135" s="228">
        <v>6.08</v>
      </c>
      <c r="B135" s="284" t="s">
        <v>43</v>
      </c>
      <c r="C135" s="236" t="s">
        <v>3</v>
      </c>
      <c r="D135" s="237">
        <v>1</v>
      </c>
      <c r="E135" s="232">
        <v>20110</v>
      </c>
      <c r="F135" s="233">
        <v>21303.1</v>
      </c>
      <c r="G135" s="244">
        <f t="shared" ref="G135:G198" si="2">(E135+F135)/2</f>
        <v>20706.55</v>
      </c>
    </row>
    <row r="136" spans="1:7" ht="25.5" x14ac:dyDescent="0.25">
      <c r="A136" s="228">
        <v>6.09</v>
      </c>
      <c r="B136" s="284" t="s">
        <v>53</v>
      </c>
      <c r="C136" s="236" t="s">
        <v>3</v>
      </c>
      <c r="D136" s="237">
        <v>1</v>
      </c>
      <c r="E136" s="232">
        <v>572868</v>
      </c>
      <c r="F136" s="233">
        <v>654248.4</v>
      </c>
      <c r="G136" s="244">
        <f t="shared" si="2"/>
        <v>613558.19999999995</v>
      </c>
    </row>
    <row r="137" spans="1:7" ht="25.5" x14ac:dyDescent="0.25">
      <c r="A137" s="228">
        <v>6.1</v>
      </c>
      <c r="B137" s="284" t="s">
        <v>191</v>
      </c>
      <c r="C137" s="236" t="s">
        <v>3</v>
      </c>
      <c r="D137" s="237">
        <v>1</v>
      </c>
      <c r="E137" s="232">
        <v>176250</v>
      </c>
      <c r="F137" s="233">
        <v>78172.899999999994</v>
      </c>
      <c r="G137" s="244">
        <f t="shared" si="2"/>
        <v>127211.45</v>
      </c>
    </row>
    <row r="138" spans="1:7" ht="38.25" x14ac:dyDescent="0.25">
      <c r="A138" s="228">
        <v>6.11</v>
      </c>
      <c r="B138" s="284" t="s">
        <v>192</v>
      </c>
      <c r="C138" s="236" t="s">
        <v>3</v>
      </c>
      <c r="D138" s="237">
        <v>1</v>
      </c>
      <c r="E138" s="239">
        <v>956700</v>
      </c>
      <c r="F138" s="233">
        <v>415585.3</v>
      </c>
      <c r="G138" s="244">
        <f>(F138)/1</f>
        <v>415585.3</v>
      </c>
    </row>
    <row r="139" spans="1:7" ht="38.25" x14ac:dyDescent="0.25">
      <c r="A139" s="228">
        <v>6.12</v>
      </c>
      <c r="B139" s="284" t="s">
        <v>193</v>
      </c>
      <c r="C139" s="236" t="s">
        <v>3</v>
      </c>
      <c r="D139" s="237">
        <v>1</v>
      </c>
      <c r="E139" s="232">
        <v>531000</v>
      </c>
      <c r="F139" s="233">
        <v>549900</v>
      </c>
      <c r="G139" s="244">
        <f t="shared" si="2"/>
        <v>540450</v>
      </c>
    </row>
    <row r="140" spans="1:7" x14ac:dyDescent="0.25">
      <c r="A140" s="228">
        <v>6.13</v>
      </c>
      <c r="B140" s="284" t="s">
        <v>63</v>
      </c>
      <c r="C140" s="236" t="s">
        <v>3</v>
      </c>
      <c r="D140" s="237">
        <v>1</v>
      </c>
      <c r="E140" s="232">
        <v>172300</v>
      </c>
      <c r="F140" s="233">
        <v>274927.90000000002</v>
      </c>
      <c r="G140" s="244">
        <f t="shared" si="2"/>
        <v>223613.95</v>
      </c>
    </row>
    <row r="141" spans="1:7" ht="25.5" x14ac:dyDescent="0.25">
      <c r="A141" s="228">
        <v>6.14</v>
      </c>
      <c r="B141" s="284" t="s">
        <v>64</v>
      </c>
      <c r="C141" s="236" t="s">
        <v>3</v>
      </c>
      <c r="D141" s="237">
        <v>1</v>
      </c>
      <c r="E141" s="232">
        <v>531000</v>
      </c>
      <c r="F141" s="233">
        <v>611000</v>
      </c>
      <c r="G141" s="244">
        <f t="shared" si="2"/>
        <v>571000</v>
      </c>
    </row>
    <row r="142" spans="1:7" ht="25.5" x14ac:dyDescent="0.25">
      <c r="A142" s="228">
        <v>6.15</v>
      </c>
      <c r="B142" s="284" t="s">
        <v>194</v>
      </c>
      <c r="C142" s="287" t="s">
        <v>5</v>
      </c>
      <c r="D142" s="237">
        <v>1</v>
      </c>
      <c r="E142" s="232">
        <v>48800</v>
      </c>
      <c r="F142" s="233">
        <v>74014.2</v>
      </c>
      <c r="G142" s="244">
        <f t="shared" si="2"/>
        <v>61407.1</v>
      </c>
    </row>
    <row r="143" spans="1:7" ht="38.25" x14ac:dyDescent="0.25">
      <c r="A143" s="228">
        <v>6.16</v>
      </c>
      <c r="B143" s="284" t="s">
        <v>19</v>
      </c>
      <c r="C143" s="287" t="s">
        <v>15</v>
      </c>
      <c r="D143" s="237">
        <v>1</v>
      </c>
      <c r="E143" s="239">
        <v>186510</v>
      </c>
      <c r="F143" s="233">
        <v>41765.1</v>
      </c>
      <c r="G143" s="244">
        <f>(F143)/1</f>
        <v>41765.1</v>
      </c>
    </row>
    <row r="144" spans="1:7" x14ac:dyDescent="0.25">
      <c r="A144" s="228">
        <v>6.17</v>
      </c>
      <c r="B144" s="249" t="s">
        <v>195</v>
      </c>
      <c r="C144" s="287" t="s">
        <v>3</v>
      </c>
      <c r="D144" s="237">
        <v>1</v>
      </c>
      <c r="E144" s="239">
        <v>1237600</v>
      </c>
      <c r="F144" s="233">
        <v>611000</v>
      </c>
      <c r="G144" s="244">
        <f>(F144)/1</f>
        <v>611000</v>
      </c>
    </row>
    <row r="145" spans="1:7" x14ac:dyDescent="0.25">
      <c r="A145" s="228">
        <v>6.18</v>
      </c>
      <c r="B145" s="284" t="s">
        <v>196</v>
      </c>
      <c r="C145" s="288" t="s">
        <v>3</v>
      </c>
      <c r="D145" s="237">
        <v>1</v>
      </c>
      <c r="E145" s="232">
        <v>70173</v>
      </c>
      <c r="F145" s="233">
        <v>39143</v>
      </c>
      <c r="G145" s="244">
        <f t="shared" si="2"/>
        <v>54658</v>
      </c>
    </row>
    <row r="146" spans="1:7" x14ac:dyDescent="0.25">
      <c r="A146" s="228">
        <v>6.19</v>
      </c>
      <c r="B146" s="284" t="s">
        <v>197</v>
      </c>
      <c r="C146" s="288" t="s">
        <v>4</v>
      </c>
      <c r="D146" s="237">
        <v>1</v>
      </c>
      <c r="E146" s="232">
        <v>191381</v>
      </c>
      <c r="F146" s="233">
        <v>118826.5</v>
      </c>
      <c r="G146" s="244">
        <f t="shared" si="2"/>
        <v>155103.75</v>
      </c>
    </row>
    <row r="147" spans="1:7" x14ac:dyDescent="0.25">
      <c r="A147" s="228">
        <v>6.2</v>
      </c>
      <c r="B147" s="284" t="s">
        <v>97</v>
      </c>
      <c r="C147" s="287" t="s">
        <v>5</v>
      </c>
      <c r="D147" s="237">
        <v>1</v>
      </c>
      <c r="E147" s="232">
        <v>829319</v>
      </c>
      <c r="F147" s="233">
        <v>611000</v>
      </c>
      <c r="G147" s="244">
        <f t="shared" si="2"/>
        <v>720159.5</v>
      </c>
    </row>
    <row r="148" spans="1:7" x14ac:dyDescent="0.25">
      <c r="A148" s="228">
        <v>6.21</v>
      </c>
      <c r="B148" s="284" t="s">
        <v>98</v>
      </c>
      <c r="C148" s="287" t="s">
        <v>17</v>
      </c>
      <c r="D148" s="237">
        <v>1</v>
      </c>
      <c r="E148" s="239">
        <v>1913814</v>
      </c>
      <c r="F148" s="233">
        <v>611000</v>
      </c>
      <c r="G148" s="244">
        <f>(F148)/1</f>
        <v>611000</v>
      </c>
    </row>
    <row r="149" spans="1:7" x14ac:dyDescent="0.25">
      <c r="A149" s="228">
        <v>6.22</v>
      </c>
      <c r="B149" s="284" t="s">
        <v>99</v>
      </c>
      <c r="C149" s="248" t="s">
        <v>3</v>
      </c>
      <c r="D149" s="237">
        <v>1</v>
      </c>
      <c r="E149" s="232">
        <v>956907</v>
      </c>
      <c r="F149" s="233">
        <v>855400</v>
      </c>
      <c r="G149" s="244">
        <f t="shared" si="2"/>
        <v>906153.5</v>
      </c>
    </row>
    <row r="150" spans="1:7" x14ac:dyDescent="0.25">
      <c r="A150" s="228">
        <v>6.23</v>
      </c>
      <c r="B150" s="238" t="s">
        <v>198</v>
      </c>
      <c r="C150" s="248" t="s">
        <v>5</v>
      </c>
      <c r="D150" s="237">
        <v>1</v>
      </c>
      <c r="E150" s="289">
        <v>514178</v>
      </c>
      <c r="F150" s="290">
        <v>433369.3</v>
      </c>
      <c r="G150" s="244">
        <f t="shared" si="2"/>
        <v>473773.65</v>
      </c>
    </row>
    <row r="151" spans="1:7" x14ac:dyDescent="0.25">
      <c r="A151" s="228">
        <v>6.24</v>
      </c>
      <c r="B151" s="238" t="s">
        <v>199</v>
      </c>
      <c r="C151" s="248" t="s">
        <v>4</v>
      </c>
      <c r="D151" s="237">
        <v>1</v>
      </c>
      <c r="E151" s="289">
        <v>280693</v>
      </c>
      <c r="F151" s="290">
        <v>132806.70000000001</v>
      </c>
      <c r="G151" s="244">
        <f t="shared" si="2"/>
        <v>206749.85</v>
      </c>
    </row>
    <row r="152" spans="1:7" ht="25.5" x14ac:dyDescent="0.25">
      <c r="A152" s="228">
        <v>6.25</v>
      </c>
      <c r="B152" s="238" t="s">
        <v>200</v>
      </c>
      <c r="C152" s="248" t="s">
        <v>3</v>
      </c>
      <c r="D152" s="237">
        <v>1</v>
      </c>
      <c r="E152" s="291">
        <v>572868</v>
      </c>
      <c r="F152" s="292">
        <v>427700</v>
      </c>
      <c r="G152" s="244">
        <f t="shared" si="2"/>
        <v>500284</v>
      </c>
    </row>
    <row r="153" spans="1:7" ht="26.25" thickBot="1" x14ac:dyDescent="0.3">
      <c r="A153" s="256">
        <v>6.26</v>
      </c>
      <c r="B153" s="257" t="s">
        <v>362</v>
      </c>
      <c r="C153" s="258" t="s">
        <v>3</v>
      </c>
      <c r="D153" s="259">
        <v>1</v>
      </c>
      <c r="E153" s="260">
        <v>531000</v>
      </c>
      <c r="F153" s="261">
        <v>829270</v>
      </c>
      <c r="G153" s="275">
        <f t="shared" si="2"/>
        <v>680135</v>
      </c>
    </row>
    <row r="154" spans="1:7" ht="16.5" thickBot="1" x14ac:dyDescent="0.3">
      <c r="A154" s="35"/>
      <c r="B154" s="36" t="s">
        <v>201</v>
      </c>
      <c r="C154" s="37"/>
      <c r="D154" s="293"/>
      <c r="E154" s="264">
        <f>SUM(E128:E153)</f>
        <v>12773421</v>
      </c>
      <c r="F154" s="265">
        <f>SUM(F128:F153)</f>
        <v>8707973.3000000007</v>
      </c>
      <c r="G154" s="266">
        <f>SUM(G128:G153)</f>
        <v>8807702.4499999993</v>
      </c>
    </row>
    <row r="155" spans="1:7" ht="15.75" x14ac:dyDescent="0.25">
      <c r="A155" s="294">
        <v>7</v>
      </c>
      <c r="B155" s="268" t="s">
        <v>202</v>
      </c>
      <c r="C155" s="269"/>
      <c r="D155" s="270"/>
      <c r="E155" s="271"/>
      <c r="F155" s="272"/>
      <c r="G155" s="273"/>
    </row>
    <row r="156" spans="1:7" ht="25.5" x14ac:dyDescent="0.25">
      <c r="A156" s="228">
        <v>7.01</v>
      </c>
      <c r="B156" s="240" t="s">
        <v>34</v>
      </c>
      <c r="C156" s="236" t="s">
        <v>3</v>
      </c>
      <c r="D156" s="237">
        <v>1</v>
      </c>
      <c r="E156" s="232">
        <v>24241</v>
      </c>
      <c r="F156" s="233">
        <v>14339</v>
      </c>
      <c r="G156" s="244">
        <f t="shared" si="2"/>
        <v>19290</v>
      </c>
    </row>
    <row r="157" spans="1:7" x14ac:dyDescent="0.25">
      <c r="A157" s="228">
        <v>7.02</v>
      </c>
      <c r="B157" s="240" t="s">
        <v>35</v>
      </c>
      <c r="C157" s="236" t="s">
        <v>3</v>
      </c>
      <c r="D157" s="237">
        <v>1</v>
      </c>
      <c r="E157" s="232">
        <v>29345</v>
      </c>
      <c r="F157" s="233">
        <v>13643.5</v>
      </c>
      <c r="G157" s="244">
        <f t="shared" si="2"/>
        <v>21494.25</v>
      </c>
    </row>
    <row r="158" spans="1:7" ht="25.5" x14ac:dyDescent="0.25">
      <c r="A158" s="228">
        <v>7.03</v>
      </c>
      <c r="B158" s="240" t="s">
        <v>42</v>
      </c>
      <c r="C158" s="236" t="s">
        <v>3</v>
      </c>
      <c r="D158" s="237">
        <v>1</v>
      </c>
      <c r="E158" s="232">
        <v>28070</v>
      </c>
      <c r="F158" s="233">
        <v>15870.4</v>
      </c>
      <c r="G158" s="244">
        <f t="shared" si="2"/>
        <v>21970.2</v>
      </c>
    </row>
    <row r="159" spans="1:7" x14ac:dyDescent="0.25">
      <c r="A159" s="228">
        <v>7.04</v>
      </c>
      <c r="B159" s="240" t="s">
        <v>25</v>
      </c>
      <c r="C159" s="236" t="s">
        <v>3</v>
      </c>
      <c r="D159" s="237">
        <v>1</v>
      </c>
      <c r="E159" s="232">
        <v>24241</v>
      </c>
      <c r="F159" s="233">
        <v>11983.4</v>
      </c>
      <c r="G159" s="244">
        <f t="shared" si="2"/>
        <v>18112.2</v>
      </c>
    </row>
    <row r="160" spans="1:7" x14ac:dyDescent="0.25">
      <c r="A160" s="228">
        <v>7.05</v>
      </c>
      <c r="B160" s="249" t="s">
        <v>105</v>
      </c>
      <c r="C160" s="236" t="s">
        <v>3</v>
      </c>
      <c r="D160" s="237">
        <v>1</v>
      </c>
      <c r="E160" s="232">
        <v>28070</v>
      </c>
      <c r="F160" s="233">
        <v>24324.3</v>
      </c>
      <c r="G160" s="244">
        <f t="shared" si="2"/>
        <v>26197.15</v>
      </c>
    </row>
    <row r="161" spans="1:7" x14ac:dyDescent="0.25">
      <c r="A161" s="228">
        <v>7.06</v>
      </c>
      <c r="B161" s="249" t="s">
        <v>106</v>
      </c>
      <c r="C161" s="236" t="s">
        <v>3</v>
      </c>
      <c r="D161" s="237">
        <v>1</v>
      </c>
      <c r="E161" s="232">
        <v>33173</v>
      </c>
      <c r="F161" s="233">
        <v>37046.1</v>
      </c>
      <c r="G161" s="244">
        <f t="shared" si="2"/>
        <v>35109.550000000003</v>
      </c>
    </row>
    <row r="162" spans="1:7" x14ac:dyDescent="0.25">
      <c r="A162" s="228">
        <v>7.07</v>
      </c>
      <c r="B162" s="238" t="s">
        <v>203</v>
      </c>
      <c r="C162" s="236" t="s">
        <v>3</v>
      </c>
      <c r="D162" s="237">
        <v>1</v>
      </c>
      <c r="E162" s="232">
        <v>28500</v>
      </c>
      <c r="F162" s="255">
        <v>442802.1</v>
      </c>
      <c r="G162" s="244">
        <f>(E162)/1</f>
        <v>28500</v>
      </c>
    </row>
    <row r="163" spans="1:7" x14ac:dyDescent="0.25">
      <c r="A163" s="228">
        <v>7.08</v>
      </c>
      <c r="B163" s="238" t="s">
        <v>36</v>
      </c>
      <c r="C163" s="236" t="s">
        <v>3</v>
      </c>
      <c r="D163" s="237">
        <v>1</v>
      </c>
      <c r="E163" s="232">
        <v>95691</v>
      </c>
      <c r="F163" s="233">
        <v>58875.7</v>
      </c>
      <c r="G163" s="244">
        <f t="shared" si="2"/>
        <v>77283.350000000006</v>
      </c>
    </row>
    <row r="164" spans="1:7" x14ac:dyDescent="0.25">
      <c r="A164" s="228">
        <v>7.09</v>
      </c>
      <c r="B164" s="238" t="s">
        <v>47</v>
      </c>
      <c r="C164" s="236" t="s">
        <v>3</v>
      </c>
      <c r="D164" s="237">
        <v>1</v>
      </c>
      <c r="E164" s="239">
        <v>113670</v>
      </c>
      <c r="F164" s="233">
        <v>47095.1</v>
      </c>
      <c r="G164" s="244">
        <f>(F164)/1</f>
        <v>47095.1</v>
      </c>
    </row>
    <row r="165" spans="1:7" ht="25.5" x14ac:dyDescent="0.25">
      <c r="A165" s="228">
        <v>7.1</v>
      </c>
      <c r="B165" s="240" t="s">
        <v>204</v>
      </c>
      <c r="C165" s="236" t="s">
        <v>3</v>
      </c>
      <c r="D165" s="237">
        <v>1</v>
      </c>
      <c r="E165" s="232">
        <v>128208</v>
      </c>
      <c r="F165" s="233">
        <v>95061.2</v>
      </c>
      <c r="G165" s="244">
        <f t="shared" si="2"/>
        <v>111634.6</v>
      </c>
    </row>
    <row r="166" spans="1:7" ht="38.25" x14ac:dyDescent="0.25">
      <c r="A166" s="228">
        <v>7.11</v>
      </c>
      <c r="B166" s="238" t="s">
        <v>131</v>
      </c>
      <c r="C166" s="236" t="s">
        <v>3</v>
      </c>
      <c r="D166" s="237">
        <v>1</v>
      </c>
      <c r="E166" s="242">
        <v>118000</v>
      </c>
      <c r="F166" s="243">
        <v>51001.599999999999</v>
      </c>
      <c r="G166" s="244">
        <f t="shared" si="2"/>
        <v>84500.800000000003</v>
      </c>
    </row>
    <row r="167" spans="1:7" ht="38.25" x14ac:dyDescent="0.25">
      <c r="A167" s="228">
        <v>7.12</v>
      </c>
      <c r="B167" s="238" t="s">
        <v>205</v>
      </c>
      <c r="C167" s="236" t="s">
        <v>3</v>
      </c>
      <c r="D167" s="237">
        <v>1</v>
      </c>
      <c r="E167" s="242">
        <v>121208</v>
      </c>
      <c r="F167" s="243">
        <v>57315.7</v>
      </c>
      <c r="G167" s="244">
        <f t="shared" si="2"/>
        <v>89261.85</v>
      </c>
    </row>
    <row r="168" spans="1:7" ht="38.25" x14ac:dyDescent="0.25">
      <c r="A168" s="228">
        <v>7.13</v>
      </c>
      <c r="B168" s="284" t="s">
        <v>206</v>
      </c>
      <c r="C168" s="285" t="s">
        <v>3</v>
      </c>
      <c r="D168" s="237">
        <v>1</v>
      </c>
      <c r="E168" s="242">
        <v>20547</v>
      </c>
      <c r="F168" s="243">
        <v>38922</v>
      </c>
      <c r="G168" s="244">
        <f t="shared" si="2"/>
        <v>29734.5</v>
      </c>
    </row>
    <row r="169" spans="1:7" ht="38.25" x14ac:dyDescent="0.25">
      <c r="A169" s="228">
        <v>7.14</v>
      </c>
      <c r="B169" s="284" t="s">
        <v>207</v>
      </c>
      <c r="C169" s="285" t="s">
        <v>3</v>
      </c>
      <c r="D169" s="237">
        <v>1</v>
      </c>
      <c r="E169" s="242">
        <v>35690</v>
      </c>
      <c r="F169" s="255">
        <v>105965.6</v>
      </c>
      <c r="G169" s="244">
        <f>(E169)/1</f>
        <v>35690</v>
      </c>
    </row>
    <row r="170" spans="1:7" ht="38.25" x14ac:dyDescent="0.25">
      <c r="A170" s="228">
        <v>7.15</v>
      </c>
      <c r="B170" s="284" t="s">
        <v>363</v>
      </c>
      <c r="C170" s="285" t="s">
        <v>5</v>
      </c>
      <c r="D170" s="237">
        <v>1</v>
      </c>
      <c r="E170" s="242">
        <v>24700</v>
      </c>
      <c r="F170" s="255">
        <v>122268.9</v>
      </c>
      <c r="G170" s="244">
        <f>(E170)/1</f>
        <v>24700</v>
      </c>
    </row>
    <row r="171" spans="1:7" ht="38.25" x14ac:dyDescent="0.25">
      <c r="A171" s="228">
        <v>7.16</v>
      </c>
      <c r="B171" s="284" t="s">
        <v>20</v>
      </c>
      <c r="C171" s="285" t="s">
        <v>3</v>
      </c>
      <c r="D171" s="237">
        <v>1</v>
      </c>
      <c r="E171" s="242">
        <v>8500</v>
      </c>
      <c r="F171" s="243">
        <v>4477.2</v>
      </c>
      <c r="G171" s="244">
        <f t="shared" si="2"/>
        <v>6488.6</v>
      </c>
    </row>
    <row r="172" spans="1:7" ht="38.25" x14ac:dyDescent="0.25">
      <c r="A172" s="228">
        <v>7.17</v>
      </c>
      <c r="B172" s="284" t="s">
        <v>208</v>
      </c>
      <c r="C172" s="285" t="s">
        <v>3</v>
      </c>
      <c r="D172" s="237">
        <v>1</v>
      </c>
      <c r="E172" s="242">
        <v>24241</v>
      </c>
      <c r="F172" s="243">
        <v>34817.9</v>
      </c>
      <c r="G172" s="244">
        <f t="shared" si="2"/>
        <v>29529.45</v>
      </c>
    </row>
    <row r="173" spans="1:7" ht="51" x14ac:dyDescent="0.25">
      <c r="A173" s="228">
        <v>7.18</v>
      </c>
      <c r="B173" s="284" t="s">
        <v>21</v>
      </c>
      <c r="C173" s="285" t="s">
        <v>3</v>
      </c>
      <c r="D173" s="237">
        <v>1</v>
      </c>
      <c r="E173" s="242">
        <v>35690</v>
      </c>
      <c r="F173" s="243">
        <v>29530.799999999999</v>
      </c>
      <c r="G173" s="244">
        <f t="shared" si="2"/>
        <v>32610.400000000001</v>
      </c>
    </row>
    <row r="174" spans="1:7" x14ac:dyDescent="0.25">
      <c r="A174" s="228">
        <v>7.19</v>
      </c>
      <c r="B174" s="249" t="s">
        <v>91</v>
      </c>
      <c r="C174" s="248" t="s">
        <v>5</v>
      </c>
      <c r="D174" s="237">
        <v>1</v>
      </c>
      <c r="E174" s="242">
        <v>47208</v>
      </c>
      <c r="F174" s="243">
        <v>39143</v>
      </c>
      <c r="G174" s="244">
        <f t="shared" si="2"/>
        <v>43175.5</v>
      </c>
    </row>
    <row r="175" spans="1:7" x14ac:dyDescent="0.25">
      <c r="A175" s="228">
        <v>7.2</v>
      </c>
      <c r="B175" s="249" t="s">
        <v>209</v>
      </c>
      <c r="C175" s="248" t="s">
        <v>3</v>
      </c>
      <c r="D175" s="237">
        <v>1</v>
      </c>
      <c r="E175" s="242">
        <v>102070</v>
      </c>
      <c r="F175" s="243">
        <v>67102.100000000006</v>
      </c>
      <c r="G175" s="244">
        <f t="shared" si="2"/>
        <v>84586.05</v>
      </c>
    </row>
    <row r="176" spans="1:7" x14ac:dyDescent="0.25">
      <c r="A176" s="228">
        <v>7.21</v>
      </c>
      <c r="B176" s="249" t="s">
        <v>210</v>
      </c>
      <c r="C176" s="248" t="s">
        <v>5</v>
      </c>
      <c r="D176" s="237">
        <v>1</v>
      </c>
      <c r="E176" s="242">
        <v>61242</v>
      </c>
      <c r="F176" s="243">
        <v>44734.3</v>
      </c>
      <c r="G176" s="244">
        <f t="shared" si="2"/>
        <v>52988.15</v>
      </c>
    </row>
    <row r="177" spans="1:7" x14ac:dyDescent="0.25">
      <c r="A177" s="228">
        <v>7.22</v>
      </c>
      <c r="B177" s="249" t="s">
        <v>211</v>
      </c>
      <c r="C177" s="248" t="s">
        <v>3</v>
      </c>
      <c r="D177" s="237">
        <v>1</v>
      </c>
      <c r="E177" s="242">
        <v>204140</v>
      </c>
      <c r="F177" s="243">
        <v>167755.9</v>
      </c>
      <c r="G177" s="244">
        <f t="shared" si="2"/>
        <v>185947.95</v>
      </c>
    </row>
    <row r="178" spans="1:7" x14ac:dyDescent="0.25">
      <c r="A178" s="228">
        <v>7.23</v>
      </c>
      <c r="B178" s="295" t="s">
        <v>107</v>
      </c>
      <c r="C178" s="248" t="s">
        <v>3</v>
      </c>
      <c r="D178" s="237">
        <v>1</v>
      </c>
      <c r="E178" s="232">
        <v>152149</v>
      </c>
      <c r="F178" s="233">
        <v>125816.6</v>
      </c>
      <c r="G178" s="244">
        <f t="shared" si="2"/>
        <v>138982.79999999999</v>
      </c>
    </row>
    <row r="179" spans="1:7" x14ac:dyDescent="0.25">
      <c r="A179" s="228">
        <v>7.24</v>
      </c>
      <c r="B179" s="295" t="s">
        <v>108</v>
      </c>
      <c r="C179" s="248" t="s">
        <v>3</v>
      </c>
      <c r="D179" s="237">
        <v>1</v>
      </c>
      <c r="E179" s="232">
        <v>76074</v>
      </c>
      <c r="F179" s="233">
        <v>62908.3</v>
      </c>
      <c r="G179" s="244">
        <f t="shared" si="2"/>
        <v>69491.149999999994</v>
      </c>
    </row>
    <row r="180" spans="1:7" x14ac:dyDescent="0.25">
      <c r="A180" s="228">
        <v>7.25</v>
      </c>
      <c r="B180" s="295" t="s">
        <v>109</v>
      </c>
      <c r="C180" s="248" t="s">
        <v>3</v>
      </c>
      <c r="D180" s="237">
        <v>1</v>
      </c>
      <c r="E180" s="232">
        <v>95691</v>
      </c>
      <c r="F180" s="233">
        <v>79683.5</v>
      </c>
      <c r="G180" s="244">
        <f t="shared" si="2"/>
        <v>87687.25</v>
      </c>
    </row>
    <row r="181" spans="1:7" x14ac:dyDescent="0.25">
      <c r="A181" s="228">
        <v>7.26</v>
      </c>
      <c r="B181" s="295" t="s">
        <v>110</v>
      </c>
      <c r="C181" s="248" t="s">
        <v>5</v>
      </c>
      <c r="D181" s="237">
        <v>1</v>
      </c>
      <c r="E181" s="232">
        <v>31897</v>
      </c>
      <c r="F181" s="233">
        <v>29356.6</v>
      </c>
      <c r="G181" s="244">
        <f t="shared" si="2"/>
        <v>30626.799999999999</v>
      </c>
    </row>
    <row r="182" spans="1:7" x14ac:dyDescent="0.25">
      <c r="A182" s="228">
        <v>7.27</v>
      </c>
      <c r="B182" s="295" t="s">
        <v>111</v>
      </c>
      <c r="C182" s="248" t="s">
        <v>5</v>
      </c>
      <c r="D182" s="237">
        <v>1</v>
      </c>
      <c r="E182" s="260">
        <v>25518</v>
      </c>
      <c r="F182" s="261">
        <v>8946.6</v>
      </c>
      <c r="G182" s="244">
        <f t="shared" si="2"/>
        <v>17232.3</v>
      </c>
    </row>
    <row r="183" spans="1:7" x14ac:dyDescent="0.25">
      <c r="A183" s="254">
        <v>7.28</v>
      </c>
      <c r="B183" s="252" t="s">
        <v>364</v>
      </c>
      <c r="C183" s="253" t="s">
        <v>5</v>
      </c>
      <c r="D183" s="237">
        <v>1</v>
      </c>
      <c r="E183" s="232">
        <v>92460</v>
      </c>
      <c r="F183" s="233">
        <v>42900</v>
      </c>
      <c r="G183" s="244">
        <f t="shared" si="2"/>
        <v>67680</v>
      </c>
    </row>
    <row r="184" spans="1:7" ht="25.5" x14ac:dyDescent="0.25">
      <c r="A184" s="254">
        <v>7.29</v>
      </c>
      <c r="B184" s="252" t="s">
        <v>365</v>
      </c>
      <c r="C184" s="253" t="s">
        <v>5</v>
      </c>
      <c r="D184" s="237">
        <v>1</v>
      </c>
      <c r="E184" s="232">
        <v>115000</v>
      </c>
      <c r="F184" s="233">
        <v>56886.7</v>
      </c>
      <c r="G184" s="244">
        <f t="shared" si="2"/>
        <v>85943.35</v>
      </c>
    </row>
    <row r="185" spans="1:7" ht="39" thickBot="1" x14ac:dyDescent="0.3">
      <c r="A185" s="296">
        <v>7.3</v>
      </c>
      <c r="B185" s="257" t="s">
        <v>366</v>
      </c>
      <c r="C185" s="258"/>
      <c r="D185" s="259">
        <v>1</v>
      </c>
      <c r="E185" s="260">
        <v>24241</v>
      </c>
      <c r="F185" s="261">
        <v>10075</v>
      </c>
      <c r="G185" s="275">
        <f t="shared" si="2"/>
        <v>17158</v>
      </c>
    </row>
    <row r="186" spans="1:7" ht="16.5" thickBot="1" x14ac:dyDescent="0.3">
      <c r="A186" s="30"/>
      <c r="B186" s="38" t="s">
        <v>367</v>
      </c>
      <c r="C186" s="39"/>
      <c r="D186" s="283"/>
      <c r="E186" s="264">
        <f>SUM(E156:E185)</f>
        <v>1949475</v>
      </c>
      <c r="F186" s="265">
        <f>SUM(F156:F185)</f>
        <v>1940649.1</v>
      </c>
      <c r="G186" s="266">
        <f>SUM(G156:G185)</f>
        <v>1620701.3000000003</v>
      </c>
    </row>
    <row r="187" spans="1:7" ht="15.75" x14ac:dyDescent="0.25">
      <c r="A187" s="267">
        <v>8</v>
      </c>
      <c r="B187" s="268" t="s">
        <v>44</v>
      </c>
      <c r="C187" s="269"/>
      <c r="D187" s="270"/>
      <c r="E187" s="271"/>
      <c r="F187" s="272"/>
      <c r="G187" s="273"/>
    </row>
    <row r="188" spans="1:7" x14ac:dyDescent="0.25">
      <c r="A188" s="228">
        <v>8.01</v>
      </c>
      <c r="B188" s="297" t="s">
        <v>45</v>
      </c>
      <c r="C188" s="236" t="s">
        <v>3</v>
      </c>
      <c r="D188" s="237">
        <v>1</v>
      </c>
      <c r="E188" s="232">
        <v>52976</v>
      </c>
      <c r="F188" s="233">
        <v>37768.9</v>
      </c>
      <c r="G188" s="244">
        <f t="shared" si="2"/>
        <v>45372.45</v>
      </c>
    </row>
    <row r="189" spans="1:7" x14ac:dyDescent="0.25">
      <c r="A189" s="228">
        <v>8.02</v>
      </c>
      <c r="B189" s="238" t="s">
        <v>51</v>
      </c>
      <c r="C189" s="298" t="s">
        <v>5</v>
      </c>
      <c r="D189" s="237">
        <v>1</v>
      </c>
      <c r="E189" s="232">
        <v>85438</v>
      </c>
      <c r="F189" s="233">
        <v>16153.8</v>
      </c>
      <c r="G189" s="244">
        <f t="shared" si="2"/>
        <v>50795.9</v>
      </c>
    </row>
    <row r="190" spans="1:7" x14ac:dyDescent="0.25">
      <c r="A190" s="228">
        <v>8.0299999999999994</v>
      </c>
      <c r="B190" s="238" t="s">
        <v>48</v>
      </c>
      <c r="C190" s="248" t="s">
        <v>5</v>
      </c>
      <c r="D190" s="237">
        <v>1</v>
      </c>
      <c r="E190" s="232">
        <v>13500</v>
      </c>
      <c r="F190" s="233">
        <v>19043.7</v>
      </c>
      <c r="G190" s="244">
        <f t="shared" si="2"/>
        <v>16271.85</v>
      </c>
    </row>
    <row r="191" spans="1:7" x14ac:dyDescent="0.25">
      <c r="A191" s="228">
        <v>8.0399999999999991</v>
      </c>
      <c r="B191" s="238" t="s">
        <v>49</v>
      </c>
      <c r="C191" s="236" t="s">
        <v>5</v>
      </c>
      <c r="D191" s="237">
        <v>1</v>
      </c>
      <c r="E191" s="232">
        <v>16300</v>
      </c>
      <c r="F191" s="233">
        <v>12742.6</v>
      </c>
      <c r="G191" s="244">
        <f t="shared" si="2"/>
        <v>14521.3</v>
      </c>
    </row>
    <row r="192" spans="1:7" ht="51" x14ac:dyDescent="0.25">
      <c r="A192" s="228">
        <v>8.0500000000000007</v>
      </c>
      <c r="B192" s="284" t="s">
        <v>14</v>
      </c>
      <c r="C192" s="285" t="s">
        <v>3</v>
      </c>
      <c r="D192" s="237">
        <v>1</v>
      </c>
      <c r="E192" s="232">
        <v>25000</v>
      </c>
      <c r="F192" s="233">
        <v>40046.5</v>
      </c>
      <c r="G192" s="244">
        <f t="shared" si="2"/>
        <v>32523.25</v>
      </c>
    </row>
    <row r="193" spans="1:7" ht="63.75" x14ac:dyDescent="0.25">
      <c r="A193" s="228">
        <v>8.06</v>
      </c>
      <c r="B193" s="284" t="s">
        <v>212</v>
      </c>
      <c r="C193" s="285" t="s">
        <v>3</v>
      </c>
      <c r="D193" s="237">
        <v>1</v>
      </c>
      <c r="E193" s="232">
        <v>15000</v>
      </c>
      <c r="F193" s="233">
        <v>34095.1</v>
      </c>
      <c r="G193" s="244">
        <f t="shared" si="2"/>
        <v>24547.55</v>
      </c>
    </row>
    <row r="194" spans="1:7" ht="38.25" x14ac:dyDescent="0.25">
      <c r="A194" s="228">
        <v>8.07</v>
      </c>
      <c r="B194" s="284" t="s">
        <v>213</v>
      </c>
      <c r="C194" s="285" t="s">
        <v>3</v>
      </c>
      <c r="D194" s="237">
        <v>1</v>
      </c>
      <c r="E194" s="232">
        <v>39259</v>
      </c>
      <c r="F194" s="233">
        <v>65183.3</v>
      </c>
      <c r="G194" s="244">
        <f t="shared" si="2"/>
        <v>52221.15</v>
      </c>
    </row>
    <row r="195" spans="1:7" ht="51" x14ac:dyDescent="0.25">
      <c r="A195" s="228">
        <v>8.08</v>
      </c>
      <c r="B195" s="284" t="s">
        <v>214</v>
      </c>
      <c r="C195" s="285" t="s">
        <v>17</v>
      </c>
      <c r="D195" s="237">
        <v>1</v>
      </c>
      <c r="E195" s="232">
        <v>211320</v>
      </c>
      <c r="F195" s="233">
        <v>129409.8</v>
      </c>
      <c r="G195" s="244">
        <f t="shared" si="2"/>
        <v>170364.9</v>
      </c>
    </row>
    <row r="196" spans="1:7" ht="25.5" x14ac:dyDescent="0.25">
      <c r="A196" s="228">
        <v>8.09</v>
      </c>
      <c r="B196" s="284" t="s">
        <v>16</v>
      </c>
      <c r="C196" s="285" t="s">
        <v>3</v>
      </c>
      <c r="D196" s="237">
        <v>1</v>
      </c>
      <c r="E196" s="232">
        <v>71300</v>
      </c>
      <c r="F196" s="255">
        <v>200974.8</v>
      </c>
      <c r="G196" s="244">
        <f>(E196)/1</f>
        <v>71300</v>
      </c>
    </row>
    <row r="197" spans="1:7" ht="38.25" x14ac:dyDescent="0.25">
      <c r="A197" s="228">
        <v>8.1</v>
      </c>
      <c r="B197" s="284" t="s">
        <v>215</v>
      </c>
      <c r="C197" s="285" t="s">
        <v>3</v>
      </c>
      <c r="D197" s="237">
        <v>1</v>
      </c>
      <c r="E197" s="260">
        <v>112200</v>
      </c>
      <c r="F197" s="299">
        <v>611000</v>
      </c>
      <c r="G197" s="244">
        <f>(E197)/1</f>
        <v>112200</v>
      </c>
    </row>
    <row r="198" spans="1:7" x14ac:dyDescent="0.25">
      <c r="A198" s="254">
        <v>8.11</v>
      </c>
      <c r="B198" s="284" t="s">
        <v>368</v>
      </c>
      <c r="C198" s="253" t="s">
        <v>3</v>
      </c>
      <c r="D198" s="237">
        <v>1</v>
      </c>
      <c r="E198" s="232">
        <v>67100</v>
      </c>
      <c r="F198" s="233">
        <v>60060</v>
      </c>
      <c r="G198" s="244">
        <f t="shared" si="2"/>
        <v>63580</v>
      </c>
    </row>
    <row r="199" spans="1:7" ht="25.5" x14ac:dyDescent="0.25">
      <c r="A199" s="254">
        <v>8.1199999999999992</v>
      </c>
      <c r="B199" s="284" t="s">
        <v>369</v>
      </c>
      <c r="C199" s="253" t="s">
        <v>3</v>
      </c>
      <c r="D199" s="237">
        <v>1</v>
      </c>
      <c r="E199" s="232">
        <v>38000</v>
      </c>
      <c r="F199" s="233">
        <v>31200</v>
      </c>
      <c r="G199" s="244">
        <f t="shared" ref="G199:G259" si="3">(E199+F199)/2</f>
        <v>34600</v>
      </c>
    </row>
    <row r="200" spans="1:7" x14ac:dyDescent="0.25">
      <c r="A200" s="254">
        <v>8.1300000000000008</v>
      </c>
      <c r="B200" s="284" t="s">
        <v>370</v>
      </c>
      <c r="C200" s="253" t="s">
        <v>3</v>
      </c>
      <c r="D200" s="237">
        <v>1</v>
      </c>
      <c r="E200" s="239">
        <v>235961</v>
      </c>
      <c r="F200" s="233">
        <v>116920.7</v>
      </c>
      <c r="G200" s="244">
        <f>(F200)/1</f>
        <v>116920.7</v>
      </c>
    </row>
    <row r="201" spans="1:7" x14ac:dyDescent="0.25">
      <c r="A201" s="254">
        <v>8.14</v>
      </c>
      <c r="B201" s="284" t="s">
        <v>371</v>
      </c>
      <c r="C201" s="253" t="s">
        <v>5</v>
      </c>
      <c r="D201" s="237">
        <v>1</v>
      </c>
      <c r="E201" s="232">
        <v>14500</v>
      </c>
      <c r="F201" s="233">
        <v>10400</v>
      </c>
      <c r="G201" s="244">
        <f t="shared" si="3"/>
        <v>12450</v>
      </c>
    </row>
    <row r="202" spans="1:7" ht="25.5" x14ac:dyDescent="0.25">
      <c r="A202" s="254">
        <v>8.15</v>
      </c>
      <c r="B202" s="284" t="s">
        <v>372</v>
      </c>
      <c r="C202" s="253" t="s">
        <v>5</v>
      </c>
      <c r="D202" s="237">
        <v>1</v>
      </c>
      <c r="E202" s="232">
        <v>14500</v>
      </c>
      <c r="F202" s="233">
        <v>10010</v>
      </c>
      <c r="G202" s="244">
        <f t="shared" si="3"/>
        <v>12255</v>
      </c>
    </row>
    <row r="203" spans="1:7" ht="15.75" thickBot="1" x14ac:dyDescent="0.3">
      <c r="A203" s="280">
        <v>8.16</v>
      </c>
      <c r="B203" s="300" t="s">
        <v>373</v>
      </c>
      <c r="C203" s="301" t="s">
        <v>5</v>
      </c>
      <c r="D203" s="259">
        <v>1</v>
      </c>
      <c r="E203" s="260">
        <v>27300</v>
      </c>
      <c r="F203" s="261">
        <v>98670</v>
      </c>
      <c r="G203" s="275">
        <f t="shared" si="3"/>
        <v>62985</v>
      </c>
    </row>
    <row r="204" spans="1:7" ht="16.5" thickBot="1" x14ac:dyDescent="0.3">
      <c r="A204" s="41"/>
      <c r="B204" s="42" t="s">
        <v>216</v>
      </c>
      <c r="C204" s="43"/>
      <c r="D204" s="302"/>
      <c r="E204" s="264">
        <f>SUM(E188:E203)</f>
        <v>1039654</v>
      </c>
      <c r="F204" s="265">
        <f>SUM(F188:F203)</f>
        <v>1493679.2</v>
      </c>
      <c r="G204" s="266">
        <f>SUM(G188:G203)</f>
        <v>892909.04999999993</v>
      </c>
    </row>
    <row r="205" spans="1:7" ht="15.75" x14ac:dyDescent="0.25">
      <c r="A205" s="267">
        <v>9</v>
      </c>
      <c r="B205" s="268" t="s">
        <v>217</v>
      </c>
      <c r="C205" s="276"/>
      <c r="D205" s="277"/>
      <c r="E205" s="278"/>
      <c r="F205" s="279"/>
      <c r="G205" s="273"/>
    </row>
    <row r="206" spans="1:7" x14ac:dyDescent="0.25">
      <c r="A206" s="228">
        <v>9.01</v>
      </c>
      <c r="B206" s="240" t="s">
        <v>218</v>
      </c>
      <c r="C206" s="298" t="s">
        <v>2</v>
      </c>
      <c r="D206" s="237">
        <v>1</v>
      </c>
      <c r="E206" s="232">
        <v>60027</v>
      </c>
      <c r="F206" s="233">
        <v>36660</v>
      </c>
      <c r="G206" s="247">
        <f t="shared" si="3"/>
        <v>48343.5</v>
      </c>
    </row>
    <row r="207" spans="1:7" x14ac:dyDescent="0.25">
      <c r="A207" s="303">
        <v>9.02</v>
      </c>
      <c r="B207" s="240" t="s">
        <v>219</v>
      </c>
      <c r="C207" s="287" t="s">
        <v>5</v>
      </c>
      <c r="D207" s="237">
        <v>1</v>
      </c>
      <c r="E207" s="232">
        <v>19492</v>
      </c>
      <c r="F207" s="233">
        <v>68747.899999999994</v>
      </c>
      <c r="G207" s="247">
        <f t="shared" si="3"/>
        <v>44119.95</v>
      </c>
    </row>
    <row r="208" spans="1:7" x14ac:dyDescent="0.25">
      <c r="A208" s="303">
        <v>9.0299999999999994</v>
      </c>
      <c r="B208" s="240" t="s">
        <v>220</v>
      </c>
      <c r="C208" s="287" t="s">
        <v>5</v>
      </c>
      <c r="D208" s="237">
        <v>1</v>
      </c>
      <c r="E208" s="232">
        <v>26201</v>
      </c>
      <c r="F208" s="233">
        <v>82907.5</v>
      </c>
      <c r="G208" s="247">
        <f t="shared" si="3"/>
        <v>54554.25</v>
      </c>
    </row>
    <row r="209" spans="1:7" x14ac:dyDescent="0.25">
      <c r="A209" s="303">
        <v>9.0399999999999991</v>
      </c>
      <c r="B209" s="240" t="s">
        <v>221</v>
      </c>
      <c r="C209" s="287" t="s">
        <v>5</v>
      </c>
      <c r="D209" s="237">
        <v>1</v>
      </c>
      <c r="E209" s="232">
        <v>38276</v>
      </c>
      <c r="F209" s="255">
        <v>114084.1</v>
      </c>
      <c r="G209" s="247">
        <f>(E209)/1</f>
        <v>38276</v>
      </c>
    </row>
    <row r="210" spans="1:7" x14ac:dyDescent="0.25">
      <c r="A210" s="228">
        <v>9.0500000000000007</v>
      </c>
      <c r="B210" s="240" t="s">
        <v>222</v>
      </c>
      <c r="C210" s="287" t="s">
        <v>5</v>
      </c>
      <c r="D210" s="237">
        <v>1</v>
      </c>
      <c r="E210" s="232">
        <v>42103</v>
      </c>
      <c r="F210" s="255">
        <v>148053.1</v>
      </c>
      <c r="G210" s="247">
        <f>(E210)/1</f>
        <v>42103</v>
      </c>
    </row>
    <row r="211" spans="1:7" x14ac:dyDescent="0.25">
      <c r="A211" s="303">
        <v>9.06</v>
      </c>
      <c r="B211" s="286" t="s">
        <v>374</v>
      </c>
      <c r="C211" s="287" t="s">
        <v>5</v>
      </c>
      <c r="D211" s="237">
        <v>1</v>
      </c>
      <c r="E211" s="232">
        <v>62932</v>
      </c>
      <c r="F211" s="233">
        <v>65358.8</v>
      </c>
      <c r="G211" s="247">
        <f t="shared" si="3"/>
        <v>64145.4</v>
      </c>
    </row>
    <row r="212" spans="1:7" x14ac:dyDescent="0.25">
      <c r="A212" s="303">
        <v>9.07</v>
      </c>
      <c r="B212" s="286" t="s">
        <v>375</v>
      </c>
      <c r="C212" s="287" t="s">
        <v>5</v>
      </c>
      <c r="D212" s="237">
        <v>1</v>
      </c>
      <c r="E212" s="232">
        <v>83100</v>
      </c>
      <c r="F212" s="255">
        <v>155369.5</v>
      </c>
      <c r="G212" s="247">
        <f>(E212)/1</f>
        <v>83100</v>
      </c>
    </row>
    <row r="213" spans="1:7" x14ac:dyDescent="0.25">
      <c r="A213" s="303">
        <v>9.08</v>
      </c>
      <c r="B213" s="286" t="s">
        <v>376</v>
      </c>
      <c r="C213" s="287" t="s">
        <v>5</v>
      </c>
      <c r="D213" s="237">
        <v>1</v>
      </c>
      <c r="E213" s="232">
        <v>75300</v>
      </c>
      <c r="F213" s="233">
        <v>104045.5</v>
      </c>
      <c r="G213" s="247">
        <f t="shared" si="3"/>
        <v>89672.75</v>
      </c>
    </row>
    <row r="214" spans="1:7" x14ac:dyDescent="0.25">
      <c r="A214" s="228">
        <v>9.09</v>
      </c>
      <c r="B214" s="286" t="s">
        <v>57</v>
      </c>
      <c r="C214" s="287" t="s">
        <v>4</v>
      </c>
      <c r="D214" s="237">
        <v>1</v>
      </c>
      <c r="E214" s="232">
        <v>36647</v>
      </c>
      <c r="F214" s="233">
        <v>27869.4</v>
      </c>
      <c r="G214" s="247">
        <f t="shared" si="3"/>
        <v>32258.2</v>
      </c>
    </row>
    <row r="215" spans="1:7" x14ac:dyDescent="0.25">
      <c r="A215" s="303">
        <v>9.1</v>
      </c>
      <c r="B215" s="240" t="s">
        <v>223</v>
      </c>
      <c r="C215" s="287" t="s">
        <v>4</v>
      </c>
      <c r="D215" s="237">
        <v>1</v>
      </c>
      <c r="E215" s="232">
        <v>36647</v>
      </c>
      <c r="F215" s="233">
        <v>35630.400000000001</v>
      </c>
      <c r="G215" s="247">
        <f t="shared" si="3"/>
        <v>36138.699999999997</v>
      </c>
    </row>
    <row r="216" spans="1:7" x14ac:dyDescent="0.25">
      <c r="A216" s="303">
        <v>9.11</v>
      </c>
      <c r="B216" s="249" t="s">
        <v>377</v>
      </c>
      <c r="C216" s="287" t="s">
        <v>4</v>
      </c>
      <c r="D216" s="237">
        <v>1</v>
      </c>
      <c r="E216" s="232">
        <v>36647</v>
      </c>
      <c r="F216" s="233">
        <v>36458.5</v>
      </c>
      <c r="G216" s="247">
        <f t="shared" si="3"/>
        <v>36552.75</v>
      </c>
    </row>
    <row r="217" spans="1:7" x14ac:dyDescent="0.25">
      <c r="A217" s="303">
        <v>9.1199999999999992</v>
      </c>
      <c r="B217" s="249" t="s">
        <v>378</v>
      </c>
      <c r="C217" s="287" t="s">
        <v>4</v>
      </c>
      <c r="D217" s="237">
        <v>1</v>
      </c>
      <c r="E217" s="232">
        <v>21257</v>
      </c>
      <c r="F217" s="233">
        <v>27147.9</v>
      </c>
      <c r="G217" s="247">
        <f t="shared" si="3"/>
        <v>24202.45</v>
      </c>
    </row>
    <row r="218" spans="1:7" x14ac:dyDescent="0.25">
      <c r="A218" s="228">
        <v>9.1300000000000008</v>
      </c>
      <c r="B218" s="249" t="s">
        <v>58</v>
      </c>
      <c r="C218" s="287" t="s">
        <v>4</v>
      </c>
      <c r="D218" s="237">
        <v>1</v>
      </c>
      <c r="E218" s="232">
        <v>21257</v>
      </c>
      <c r="F218" s="233">
        <v>12134.2</v>
      </c>
      <c r="G218" s="247">
        <f t="shared" si="3"/>
        <v>16695.599999999999</v>
      </c>
    </row>
    <row r="219" spans="1:7" x14ac:dyDescent="0.25">
      <c r="A219" s="303">
        <v>9.14</v>
      </c>
      <c r="B219" s="249" t="s">
        <v>59</v>
      </c>
      <c r="C219" s="287" t="s">
        <v>4</v>
      </c>
      <c r="D219" s="237">
        <v>1</v>
      </c>
      <c r="E219" s="232">
        <v>21257</v>
      </c>
      <c r="F219" s="233">
        <v>14146.6</v>
      </c>
      <c r="G219" s="247">
        <f t="shared" si="3"/>
        <v>17701.8</v>
      </c>
    </row>
    <row r="220" spans="1:7" x14ac:dyDescent="0.25">
      <c r="A220" s="303">
        <v>9.15</v>
      </c>
      <c r="B220" s="249" t="s">
        <v>60</v>
      </c>
      <c r="C220" s="287" t="s">
        <v>4</v>
      </c>
      <c r="D220" s="237">
        <v>1</v>
      </c>
      <c r="E220" s="232">
        <v>12100</v>
      </c>
      <c r="F220" s="233">
        <v>7436</v>
      </c>
      <c r="G220" s="247">
        <f t="shared" si="3"/>
        <v>9768</v>
      </c>
    </row>
    <row r="221" spans="1:7" x14ac:dyDescent="0.25">
      <c r="A221" s="303">
        <v>9.16</v>
      </c>
      <c r="B221" s="286" t="s">
        <v>61</v>
      </c>
      <c r="C221" s="287" t="s">
        <v>4</v>
      </c>
      <c r="D221" s="237">
        <v>1</v>
      </c>
      <c r="E221" s="232">
        <v>12100</v>
      </c>
      <c r="F221" s="233">
        <v>7436</v>
      </c>
      <c r="G221" s="247">
        <f t="shared" si="3"/>
        <v>9768</v>
      </c>
    </row>
    <row r="222" spans="1:7" x14ac:dyDescent="0.25">
      <c r="A222" s="228">
        <v>9.17</v>
      </c>
      <c r="B222" s="286" t="s">
        <v>62</v>
      </c>
      <c r="C222" s="287" t="s">
        <v>4</v>
      </c>
      <c r="D222" s="237">
        <v>1</v>
      </c>
      <c r="E222" s="232">
        <v>12100</v>
      </c>
      <c r="F222" s="233">
        <v>11629.8</v>
      </c>
      <c r="G222" s="247">
        <f t="shared" si="3"/>
        <v>11864.9</v>
      </c>
    </row>
    <row r="223" spans="1:7" x14ac:dyDescent="0.25">
      <c r="A223" s="303">
        <v>9.18</v>
      </c>
      <c r="B223" s="286" t="s">
        <v>224</v>
      </c>
      <c r="C223" s="287" t="s">
        <v>4</v>
      </c>
      <c r="D223" s="237">
        <v>1</v>
      </c>
      <c r="E223" s="232">
        <v>7100</v>
      </c>
      <c r="F223" s="233">
        <v>6598.8</v>
      </c>
      <c r="G223" s="247">
        <f t="shared" si="3"/>
        <v>6849.4</v>
      </c>
    </row>
    <row r="224" spans="1:7" x14ac:dyDescent="0.25">
      <c r="A224" s="303">
        <v>9.19</v>
      </c>
      <c r="B224" s="286" t="s">
        <v>225</v>
      </c>
      <c r="C224" s="287" t="s">
        <v>4</v>
      </c>
      <c r="D224" s="237">
        <v>1</v>
      </c>
      <c r="E224" s="232">
        <v>23557</v>
      </c>
      <c r="F224" s="233">
        <v>25051</v>
      </c>
      <c r="G224" s="247">
        <f t="shared" si="3"/>
        <v>24304</v>
      </c>
    </row>
    <row r="225" spans="1:7" x14ac:dyDescent="0.25">
      <c r="A225" s="303">
        <v>9.1999999999999993</v>
      </c>
      <c r="B225" s="240" t="s">
        <v>226</v>
      </c>
      <c r="C225" s="287" t="s">
        <v>4</v>
      </c>
      <c r="D225" s="237">
        <v>1</v>
      </c>
      <c r="E225" s="232">
        <v>7100</v>
      </c>
      <c r="F225" s="233">
        <v>6598.8</v>
      </c>
      <c r="G225" s="247">
        <f t="shared" si="3"/>
        <v>6849.4</v>
      </c>
    </row>
    <row r="226" spans="1:7" x14ac:dyDescent="0.25">
      <c r="A226" s="228">
        <v>9.2100000000000009</v>
      </c>
      <c r="B226" s="240" t="s">
        <v>227</v>
      </c>
      <c r="C226" s="287" t="s">
        <v>4</v>
      </c>
      <c r="D226" s="237">
        <v>1</v>
      </c>
      <c r="E226" s="232">
        <v>11600</v>
      </c>
      <c r="F226" s="233">
        <v>17669.599999999999</v>
      </c>
      <c r="G226" s="247">
        <f t="shared" si="3"/>
        <v>14634.8</v>
      </c>
    </row>
    <row r="227" spans="1:7" x14ac:dyDescent="0.25">
      <c r="A227" s="303">
        <v>9.2200000000000006</v>
      </c>
      <c r="B227" s="240" t="s">
        <v>228</v>
      </c>
      <c r="C227" s="287" t="s">
        <v>4</v>
      </c>
      <c r="D227" s="237">
        <v>1</v>
      </c>
      <c r="E227" s="232">
        <v>23557</v>
      </c>
      <c r="F227" s="233">
        <v>10792.6</v>
      </c>
      <c r="G227" s="247">
        <f t="shared" si="3"/>
        <v>17174.8</v>
      </c>
    </row>
    <row r="228" spans="1:7" x14ac:dyDescent="0.25">
      <c r="A228" s="303">
        <v>9.23</v>
      </c>
      <c r="B228" s="284" t="s">
        <v>229</v>
      </c>
      <c r="C228" s="287" t="s">
        <v>6</v>
      </c>
      <c r="D228" s="237">
        <v>1</v>
      </c>
      <c r="E228" s="232">
        <v>350000</v>
      </c>
      <c r="F228" s="233">
        <v>366600</v>
      </c>
      <c r="G228" s="247">
        <f t="shared" si="3"/>
        <v>358300</v>
      </c>
    </row>
    <row r="229" spans="1:7" x14ac:dyDescent="0.25">
      <c r="A229" s="303">
        <v>9.24</v>
      </c>
      <c r="B229" s="240" t="s">
        <v>230</v>
      </c>
      <c r="C229" s="287" t="s">
        <v>4</v>
      </c>
      <c r="D229" s="237">
        <v>1</v>
      </c>
      <c r="E229" s="232">
        <v>31897</v>
      </c>
      <c r="F229" s="233">
        <v>15139.8</v>
      </c>
      <c r="G229" s="247">
        <f t="shared" si="3"/>
        <v>23518.400000000001</v>
      </c>
    </row>
    <row r="230" spans="1:7" ht="25.5" x14ac:dyDescent="0.25">
      <c r="A230" s="228">
        <v>9.25</v>
      </c>
      <c r="B230" s="240" t="s">
        <v>52</v>
      </c>
      <c r="C230" s="304" t="s">
        <v>4</v>
      </c>
      <c r="D230" s="237">
        <v>1</v>
      </c>
      <c r="E230" s="232">
        <v>65000</v>
      </c>
      <c r="F230" s="233">
        <v>25051</v>
      </c>
      <c r="G230" s="244">
        <f t="shared" si="3"/>
        <v>45025.5</v>
      </c>
    </row>
    <row r="231" spans="1:7" ht="38.25" x14ac:dyDescent="0.25">
      <c r="A231" s="303">
        <v>9.26</v>
      </c>
      <c r="B231" s="245" t="s">
        <v>231</v>
      </c>
      <c r="C231" s="246" t="s">
        <v>2</v>
      </c>
      <c r="D231" s="237">
        <v>1</v>
      </c>
      <c r="E231" s="232">
        <v>122000</v>
      </c>
      <c r="F231" s="233">
        <v>148041.4</v>
      </c>
      <c r="G231" s="244">
        <f t="shared" si="3"/>
        <v>135020.70000000001</v>
      </c>
    </row>
    <row r="232" spans="1:7" ht="38.25" x14ac:dyDescent="0.25">
      <c r="A232" s="303">
        <v>9.27</v>
      </c>
      <c r="B232" s="245" t="s">
        <v>232</v>
      </c>
      <c r="C232" s="246" t="s">
        <v>2</v>
      </c>
      <c r="D232" s="237">
        <v>1</v>
      </c>
      <c r="E232" s="232">
        <v>122000</v>
      </c>
      <c r="F232" s="233">
        <v>226232.5</v>
      </c>
      <c r="G232" s="244">
        <f t="shared" si="3"/>
        <v>174116.25</v>
      </c>
    </row>
    <row r="233" spans="1:7" x14ac:dyDescent="0.25">
      <c r="A233" s="303">
        <v>9.2799999999999994</v>
      </c>
      <c r="B233" s="249" t="s">
        <v>379</v>
      </c>
      <c r="C233" s="305" t="s">
        <v>5</v>
      </c>
      <c r="D233" s="237">
        <v>1</v>
      </c>
      <c r="E233" s="232">
        <v>82932</v>
      </c>
      <c r="F233" s="255">
        <v>433369.3</v>
      </c>
      <c r="G233" s="244">
        <f>(E233)/1</f>
        <v>82932</v>
      </c>
    </row>
    <row r="234" spans="1:7" x14ac:dyDescent="0.25">
      <c r="A234" s="228">
        <v>9.2899999999999991</v>
      </c>
      <c r="B234" s="249" t="s">
        <v>380</v>
      </c>
      <c r="C234" s="305" t="s">
        <v>5</v>
      </c>
      <c r="D234" s="237">
        <v>1</v>
      </c>
      <c r="E234" s="232">
        <v>25518</v>
      </c>
      <c r="F234" s="255">
        <v>402613.9</v>
      </c>
      <c r="G234" s="244">
        <f>(E234)/1</f>
        <v>25518</v>
      </c>
    </row>
    <row r="235" spans="1:7" x14ac:dyDescent="0.25">
      <c r="A235" s="303">
        <v>9.3000000000000007</v>
      </c>
      <c r="B235" s="249" t="s">
        <v>381</v>
      </c>
      <c r="C235" s="305" t="s">
        <v>4</v>
      </c>
      <c r="D235" s="237">
        <v>1</v>
      </c>
      <c r="E235" s="232">
        <v>108449</v>
      </c>
      <c r="F235" s="233">
        <v>55918.2</v>
      </c>
      <c r="G235" s="244">
        <f t="shared" si="3"/>
        <v>82183.600000000006</v>
      </c>
    </row>
    <row r="236" spans="1:7" x14ac:dyDescent="0.25">
      <c r="A236" s="303">
        <v>9.31</v>
      </c>
      <c r="B236" s="249" t="s">
        <v>113</v>
      </c>
      <c r="C236" s="305" t="s">
        <v>4</v>
      </c>
      <c r="D236" s="237">
        <v>1</v>
      </c>
      <c r="E236" s="232">
        <v>153105</v>
      </c>
      <c r="F236" s="233">
        <v>78286</v>
      </c>
      <c r="G236" s="244">
        <f t="shared" si="3"/>
        <v>115695.5</v>
      </c>
    </row>
    <row r="237" spans="1:7" x14ac:dyDescent="0.25">
      <c r="A237" s="303">
        <v>9.32</v>
      </c>
      <c r="B237" s="249" t="s">
        <v>114</v>
      </c>
      <c r="C237" s="305" t="s">
        <v>5</v>
      </c>
      <c r="D237" s="237">
        <v>1</v>
      </c>
      <c r="E237" s="232">
        <v>44656</v>
      </c>
      <c r="F237" s="233">
        <v>153775.70000000001</v>
      </c>
      <c r="G237" s="244">
        <f t="shared" si="3"/>
        <v>99215.85</v>
      </c>
    </row>
    <row r="238" spans="1:7" x14ac:dyDescent="0.25">
      <c r="A238" s="228">
        <v>9.33</v>
      </c>
      <c r="B238" s="249" t="s">
        <v>233</v>
      </c>
      <c r="C238" s="305" t="s">
        <v>4</v>
      </c>
      <c r="D238" s="237">
        <v>1</v>
      </c>
      <c r="E238" s="232">
        <v>82932</v>
      </c>
      <c r="F238" s="233">
        <v>51724.4</v>
      </c>
      <c r="G238" s="244">
        <f t="shared" si="3"/>
        <v>67328.2</v>
      </c>
    </row>
    <row r="239" spans="1:7" x14ac:dyDescent="0.25">
      <c r="A239" s="303">
        <v>9.34</v>
      </c>
      <c r="B239" s="249" t="s">
        <v>234</v>
      </c>
      <c r="C239" s="305" t="s">
        <v>4</v>
      </c>
      <c r="D239" s="237">
        <v>1</v>
      </c>
      <c r="E239" s="232">
        <v>95691</v>
      </c>
      <c r="F239" s="233">
        <v>79683.5</v>
      </c>
      <c r="G239" s="244">
        <f t="shared" si="3"/>
        <v>87687.25</v>
      </c>
    </row>
    <row r="240" spans="1:7" ht="25.5" x14ac:dyDescent="0.25">
      <c r="A240" s="303">
        <v>9.35</v>
      </c>
      <c r="B240" s="240" t="s">
        <v>235</v>
      </c>
      <c r="C240" s="305" t="s">
        <v>4</v>
      </c>
      <c r="D240" s="237">
        <v>1</v>
      </c>
      <c r="E240" s="232">
        <v>586903</v>
      </c>
      <c r="F240" s="233">
        <v>855400</v>
      </c>
      <c r="G240" s="244">
        <f t="shared" si="3"/>
        <v>721151.5</v>
      </c>
    </row>
    <row r="241" spans="1:7" x14ac:dyDescent="0.25">
      <c r="A241" s="303">
        <v>9.36</v>
      </c>
      <c r="B241" s="249" t="s">
        <v>236</v>
      </c>
      <c r="C241" s="305" t="s">
        <v>4</v>
      </c>
      <c r="D241" s="237">
        <v>1</v>
      </c>
      <c r="E241" s="232">
        <v>459315</v>
      </c>
      <c r="F241" s="233">
        <v>244644.4</v>
      </c>
      <c r="G241" s="244">
        <f t="shared" si="3"/>
        <v>351979.7</v>
      </c>
    </row>
    <row r="242" spans="1:7" x14ac:dyDescent="0.25">
      <c r="A242" s="228">
        <v>9.3699999999999992</v>
      </c>
      <c r="B242" s="249" t="s">
        <v>237</v>
      </c>
      <c r="C242" s="305" t="s">
        <v>4</v>
      </c>
      <c r="D242" s="237">
        <v>1</v>
      </c>
      <c r="E242" s="232">
        <v>586903</v>
      </c>
      <c r="F242" s="233">
        <v>366600</v>
      </c>
      <c r="G242" s="244">
        <f t="shared" si="3"/>
        <v>476751.5</v>
      </c>
    </row>
    <row r="243" spans="1:7" ht="25.5" x14ac:dyDescent="0.25">
      <c r="A243" s="303">
        <v>9.3800000000000008</v>
      </c>
      <c r="B243" s="240" t="s">
        <v>238</v>
      </c>
      <c r="C243" s="305" t="s">
        <v>5</v>
      </c>
      <c r="D243" s="237">
        <v>1</v>
      </c>
      <c r="E243" s="232">
        <v>829319</v>
      </c>
      <c r="F243" s="233">
        <v>672100</v>
      </c>
      <c r="G243" s="244">
        <f t="shared" si="3"/>
        <v>750709.5</v>
      </c>
    </row>
    <row r="244" spans="1:7" x14ac:dyDescent="0.25">
      <c r="A244" s="303">
        <v>9.39</v>
      </c>
      <c r="B244" s="249" t="s">
        <v>239</v>
      </c>
      <c r="C244" s="305" t="s">
        <v>4</v>
      </c>
      <c r="D244" s="237">
        <v>1</v>
      </c>
      <c r="E244" s="232">
        <v>76553</v>
      </c>
      <c r="F244" s="233">
        <v>72693.399999999994</v>
      </c>
      <c r="G244" s="244">
        <f t="shared" si="3"/>
        <v>74623.199999999997</v>
      </c>
    </row>
    <row r="245" spans="1:7" x14ac:dyDescent="0.25">
      <c r="A245" s="303">
        <v>9.4</v>
      </c>
      <c r="B245" s="249" t="s">
        <v>240</v>
      </c>
      <c r="C245" s="305" t="s">
        <v>4</v>
      </c>
      <c r="D245" s="237">
        <v>1</v>
      </c>
      <c r="E245" s="260">
        <v>484833</v>
      </c>
      <c r="F245" s="261">
        <v>488800</v>
      </c>
      <c r="G245" s="244">
        <f t="shared" si="3"/>
        <v>486816.5</v>
      </c>
    </row>
    <row r="246" spans="1:7" x14ac:dyDescent="0.25">
      <c r="A246" s="254">
        <v>9.41</v>
      </c>
      <c r="B246" s="284" t="s">
        <v>382</v>
      </c>
      <c r="C246" s="253" t="s">
        <v>3</v>
      </c>
      <c r="D246" s="237">
        <v>1</v>
      </c>
      <c r="E246" s="232">
        <v>220000</v>
      </c>
      <c r="F246" s="255">
        <v>1333100.6000000001</v>
      </c>
      <c r="G246" s="244">
        <f>(E246)/1</f>
        <v>220000</v>
      </c>
    </row>
    <row r="247" spans="1:7" x14ac:dyDescent="0.25">
      <c r="A247" s="254">
        <v>9.42</v>
      </c>
      <c r="B247" s="284" t="s">
        <v>383</v>
      </c>
      <c r="C247" s="253" t="s">
        <v>4</v>
      </c>
      <c r="D247" s="237">
        <v>1</v>
      </c>
      <c r="E247" s="232">
        <v>86070</v>
      </c>
      <c r="F247" s="233">
        <v>72540</v>
      </c>
      <c r="G247" s="244">
        <f t="shared" si="3"/>
        <v>79305</v>
      </c>
    </row>
    <row r="248" spans="1:7" ht="25.5" x14ac:dyDescent="0.25">
      <c r="A248" s="254">
        <v>9.43</v>
      </c>
      <c r="B248" s="284" t="s">
        <v>384</v>
      </c>
      <c r="C248" s="253" t="s">
        <v>2</v>
      </c>
      <c r="D248" s="237">
        <v>1</v>
      </c>
      <c r="E248" s="239">
        <v>120000</v>
      </c>
      <c r="F248" s="233">
        <v>29900</v>
      </c>
      <c r="G248" s="244">
        <f>(F248)/1</f>
        <v>29900</v>
      </c>
    </row>
    <row r="249" spans="1:7" x14ac:dyDescent="0.25">
      <c r="A249" s="254">
        <v>9.44</v>
      </c>
      <c r="B249" s="284" t="s">
        <v>385</v>
      </c>
      <c r="C249" s="253" t="s">
        <v>2</v>
      </c>
      <c r="D249" s="237">
        <v>1</v>
      </c>
      <c r="E249" s="232">
        <v>125000</v>
      </c>
      <c r="F249" s="233">
        <v>75400</v>
      </c>
      <c r="G249" s="244">
        <f t="shared" si="3"/>
        <v>100200</v>
      </c>
    </row>
    <row r="250" spans="1:7" x14ac:dyDescent="0.25">
      <c r="A250" s="254">
        <v>9.4499999999999993</v>
      </c>
      <c r="B250" s="284" t="s">
        <v>386</v>
      </c>
      <c r="C250" s="253" t="s">
        <v>2</v>
      </c>
      <c r="D250" s="237">
        <v>1</v>
      </c>
      <c r="E250" s="232">
        <v>79283</v>
      </c>
      <c r="F250" s="233">
        <v>99060</v>
      </c>
      <c r="G250" s="244">
        <f t="shared" si="3"/>
        <v>89171.5</v>
      </c>
    </row>
    <row r="251" spans="1:7" x14ac:dyDescent="0.25">
      <c r="A251" s="254">
        <v>9.4600000000000009</v>
      </c>
      <c r="B251" s="284" t="s">
        <v>387</v>
      </c>
      <c r="C251" s="253" t="s">
        <v>2</v>
      </c>
      <c r="D251" s="237">
        <v>1</v>
      </c>
      <c r="E251" s="232">
        <v>904327</v>
      </c>
      <c r="F251" s="233">
        <v>915434</v>
      </c>
      <c r="G251" s="244">
        <f t="shared" si="3"/>
        <v>909880.5</v>
      </c>
    </row>
    <row r="252" spans="1:7" x14ac:dyDescent="0.25">
      <c r="A252" s="254">
        <v>9.4700000000000006</v>
      </c>
      <c r="B252" s="284" t="s">
        <v>388</v>
      </c>
      <c r="C252" s="253" t="s">
        <v>2</v>
      </c>
      <c r="D252" s="237">
        <v>1</v>
      </c>
      <c r="E252" s="232">
        <v>586000</v>
      </c>
      <c r="F252" s="233">
        <v>310908</v>
      </c>
      <c r="G252" s="244">
        <f t="shared" si="3"/>
        <v>448454</v>
      </c>
    </row>
    <row r="253" spans="1:7" x14ac:dyDescent="0.25">
      <c r="A253" s="254">
        <v>9.48</v>
      </c>
      <c r="B253" s="284" t="s">
        <v>389</v>
      </c>
      <c r="C253" s="253" t="s">
        <v>2</v>
      </c>
      <c r="D253" s="237">
        <v>1</v>
      </c>
      <c r="E253" s="232">
        <v>388700</v>
      </c>
      <c r="F253" s="233">
        <v>242710</v>
      </c>
      <c r="G253" s="244">
        <f t="shared" si="3"/>
        <v>315705</v>
      </c>
    </row>
    <row r="254" spans="1:7" x14ac:dyDescent="0.25">
      <c r="A254" s="254">
        <v>9.49</v>
      </c>
      <c r="B254" s="284" t="s">
        <v>390</v>
      </c>
      <c r="C254" s="253" t="s">
        <v>2</v>
      </c>
      <c r="D254" s="237">
        <v>1</v>
      </c>
      <c r="E254" s="232">
        <v>235000</v>
      </c>
      <c r="F254" s="233">
        <v>403000</v>
      </c>
      <c r="G254" s="244">
        <f t="shared" si="3"/>
        <v>319000</v>
      </c>
    </row>
    <row r="255" spans="1:7" x14ac:dyDescent="0.25">
      <c r="A255" s="251">
        <v>9.5</v>
      </c>
      <c r="B255" s="284" t="s">
        <v>391</v>
      </c>
      <c r="C255" s="253" t="s">
        <v>2</v>
      </c>
      <c r="D255" s="237">
        <v>1</v>
      </c>
      <c r="E255" s="232">
        <v>150000</v>
      </c>
      <c r="F255" s="255">
        <v>455000</v>
      </c>
      <c r="G255" s="244">
        <f>(E255)/1</f>
        <v>150000</v>
      </c>
    </row>
    <row r="256" spans="1:7" ht="26.25" thickBot="1" x14ac:dyDescent="0.3">
      <c r="A256" s="296">
        <v>9.51</v>
      </c>
      <c r="B256" s="300" t="s">
        <v>392</v>
      </c>
      <c r="C256" s="258" t="s">
        <v>2</v>
      </c>
      <c r="D256" s="259">
        <v>1</v>
      </c>
      <c r="E256" s="260">
        <v>690000</v>
      </c>
      <c r="F256" s="299">
        <v>1333035.6000000001</v>
      </c>
      <c r="G256" s="275">
        <f>(E256)/1</f>
        <v>690000</v>
      </c>
    </row>
    <row r="257" spans="1:7" ht="16.5" thickBot="1" x14ac:dyDescent="0.3">
      <c r="A257" s="41"/>
      <c r="B257" s="42" t="s">
        <v>241</v>
      </c>
      <c r="C257" s="45"/>
      <c r="D257" s="306"/>
      <c r="E257" s="264">
        <f>SUM(E206:E256)</f>
        <v>8582743</v>
      </c>
      <c r="F257" s="265">
        <f>SUM(F206:F256)</f>
        <v>11028587.699999999</v>
      </c>
      <c r="G257" s="266">
        <f>SUM(G206:G256)</f>
        <v>8239266.8000000007</v>
      </c>
    </row>
    <row r="258" spans="1:7" ht="15.75" x14ac:dyDescent="0.25">
      <c r="A258" s="267">
        <v>10</v>
      </c>
      <c r="B258" s="268" t="s">
        <v>242</v>
      </c>
      <c r="C258" s="276"/>
      <c r="D258" s="277"/>
      <c r="E258" s="278"/>
      <c r="F258" s="279"/>
      <c r="G258" s="273"/>
    </row>
    <row r="259" spans="1:7" ht="25.5" x14ac:dyDescent="0.25">
      <c r="A259" s="228">
        <v>10.01</v>
      </c>
      <c r="B259" s="240" t="s">
        <v>243</v>
      </c>
      <c r="C259" s="287" t="s">
        <v>4</v>
      </c>
      <c r="D259" s="237">
        <v>1</v>
      </c>
      <c r="E259" s="232">
        <v>570373</v>
      </c>
      <c r="F259" s="233">
        <v>232648</v>
      </c>
      <c r="G259" s="244">
        <f t="shared" si="3"/>
        <v>401510.5</v>
      </c>
    </row>
    <row r="260" spans="1:7" x14ac:dyDescent="0.25">
      <c r="A260" s="228">
        <v>10.02</v>
      </c>
      <c r="B260" s="249" t="s">
        <v>393</v>
      </c>
      <c r="C260" s="287" t="s">
        <v>4</v>
      </c>
      <c r="D260" s="237">
        <v>1</v>
      </c>
      <c r="E260" s="239">
        <v>3572453</v>
      </c>
      <c r="F260" s="233">
        <v>855400</v>
      </c>
      <c r="G260" s="244">
        <f>(F260)/1</f>
        <v>855400</v>
      </c>
    </row>
    <row r="261" spans="1:7" x14ac:dyDescent="0.25">
      <c r="A261" s="228">
        <v>10.029999999999999</v>
      </c>
      <c r="B261" s="249" t="s">
        <v>394</v>
      </c>
      <c r="C261" s="287" t="s">
        <v>4</v>
      </c>
      <c r="D261" s="237">
        <v>1</v>
      </c>
      <c r="E261" s="239">
        <v>3062102</v>
      </c>
      <c r="F261" s="233">
        <v>733200</v>
      </c>
      <c r="G261" s="244">
        <f>(F261)/1</f>
        <v>733200</v>
      </c>
    </row>
    <row r="262" spans="1:7" x14ac:dyDescent="0.25">
      <c r="A262" s="228">
        <v>10.039999999999999</v>
      </c>
      <c r="B262" s="249" t="s">
        <v>395</v>
      </c>
      <c r="C262" s="287" t="s">
        <v>4</v>
      </c>
      <c r="D262" s="237">
        <v>1</v>
      </c>
      <c r="E262" s="239">
        <v>2551752</v>
      </c>
      <c r="F262" s="233">
        <v>611000</v>
      </c>
      <c r="G262" s="244">
        <f>(F262)/1</f>
        <v>611000</v>
      </c>
    </row>
    <row r="263" spans="1:7" x14ac:dyDescent="0.25">
      <c r="A263" s="228">
        <v>10.050000000000001</v>
      </c>
      <c r="B263" s="249" t="s">
        <v>396</v>
      </c>
      <c r="C263" s="287" t="s">
        <v>4</v>
      </c>
      <c r="D263" s="237">
        <v>1</v>
      </c>
      <c r="E263" s="239">
        <v>2041402</v>
      </c>
      <c r="F263" s="233">
        <v>488800</v>
      </c>
      <c r="G263" s="244">
        <f>(F263)/1</f>
        <v>488800</v>
      </c>
    </row>
    <row r="264" spans="1:7" ht="25.5" x14ac:dyDescent="0.25">
      <c r="A264" s="228">
        <v>10.06</v>
      </c>
      <c r="B264" s="240" t="s">
        <v>37</v>
      </c>
      <c r="C264" s="287" t="s">
        <v>4</v>
      </c>
      <c r="D264" s="237">
        <v>1</v>
      </c>
      <c r="E264" s="232">
        <v>208450</v>
      </c>
      <c r="F264" s="233">
        <v>57064.800000000003</v>
      </c>
      <c r="G264" s="244">
        <f t="shared" ref="G264:G314" si="4">(E264+F264)/2</f>
        <v>132757.4</v>
      </c>
    </row>
    <row r="265" spans="1:7" ht="38.25" x14ac:dyDescent="0.25">
      <c r="A265" s="228">
        <v>10.07</v>
      </c>
      <c r="B265" s="240" t="s">
        <v>244</v>
      </c>
      <c r="C265" s="287" t="s">
        <v>4</v>
      </c>
      <c r="D265" s="237">
        <v>1</v>
      </c>
      <c r="E265" s="232">
        <v>204140</v>
      </c>
      <c r="F265" s="233">
        <v>189485.4</v>
      </c>
      <c r="G265" s="244">
        <f t="shared" si="4"/>
        <v>196812.7</v>
      </c>
    </row>
    <row r="266" spans="1:7" ht="76.5" x14ac:dyDescent="0.25">
      <c r="A266" s="228">
        <v>10.08</v>
      </c>
      <c r="B266" s="240" t="s">
        <v>245</v>
      </c>
      <c r="C266" s="287" t="s">
        <v>4</v>
      </c>
      <c r="D266" s="237">
        <v>1</v>
      </c>
      <c r="E266" s="232">
        <v>114829</v>
      </c>
      <c r="F266" s="233">
        <v>171194.4</v>
      </c>
      <c r="G266" s="244">
        <f t="shared" si="4"/>
        <v>143011.70000000001</v>
      </c>
    </row>
    <row r="267" spans="1:7" ht="25.5" x14ac:dyDescent="0.25">
      <c r="A267" s="228">
        <v>10.09</v>
      </c>
      <c r="B267" s="240" t="s">
        <v>246</v>
      </c>
      <c r="C267" s="287" t="s">
        <v>4</v>
      </c>
      <c r="D267" s="237">
        <v>1</v>
      </c>
      <c r="E267" s="239">
        <v>8000000</v>
      </c>
      <c r="F267" s="233">
        <v>366600</v>
      </c>
      <c r="G267" s="244">
        <f>(F267)/1</f>
        <v>366600</v>
      </c>
    </row>
    <row r="268" spans="1:7" ht="38.25" x14ac:dyDescent="0.25">
      <c r="A268" s="228">
        <v>10.1</v>
      </c>
      <c r="B268" s="240" t="s">
        <v>124</v>
      </c>
      <c r="C268" s="248" t="s">
        <v>2</v>
      </c>
      <c r="D268" s="237">
        <v>1</v>
      </c>
      <c r="E268" s="232">
        <v>315000</v>
      </c>
      <c r="F268" s="255">
        <v>611000</v>
      </c>
      <c r="G268" s="244">
        <f>(E268)/1</f>
        <v>315000</v>
      </c>
    </row>
    <row r="269" spans="1:7" ht="25.5" x14ac:dyDescent="0.25">
      <c r="A269" s="228">
        <v>10.11</v>
      </c>
      <c r="B269" s="240" t="s">
        <v>125</v>
      </c>
      <c r="C269" s="248" t="s">
        <v>2</v>
      </c>
      <c r="D269" s="237">
        <v>1</v>
      </c>
      <c r="E269" s="232">
        <v>162621</v>
      </c>
      <c r="F269" s="233">
        <v>121499.3</v>
      </c>
      <c r="G269" s="244">
        <f t="shared" si="4"/>
        <v>142060.15</v>
      </c>
    </row>
    <row r="270" spans="1:7" ht="38.25" x14ac:dyDescent="0.25">
      <c r="A270" s="228">
        <v>10.119999999999999</v>
      </c>
      <c r="B270" s="240" t="s">
        <v>247</v>
      </c>
      <c r="C270" s="248" t="s">
        <v>2</v>
      </c>
      <c r="D270" s="237">
        <v>1</v>
      </c>
      <c r="E270" s="232">
        <v>389450</v>
      </c>
      <c r="F270" s="233">
        <v>111568.6</v>
      </c>
      <c r="G270" s="244">
        <f t="shared" si="4"/>
        <v>250509.3</v>
      </c>
    </row>
    <row r="271" spans="1:7" ht="38.25" x14ac:dyDescent="0.25">
      <c r="A271" s="228">
        <v>10.130000000000001</v>
      </c>
      <c r="B271" s="249" t="s">
        <v>112</v>
      </c>
      <c r="C271" s="236" t="s">
        <v>17</v>
      </c>
      <c r="D271" s="237">
        <v>1</v>
      </c>
      <c r="E271" s="232">
        <v>121208</v>
      </c>
      <c r="F271" s="233">
        <v>39841.1</v>
      </c>
      <c r="G271" s="244">
        <f t="shared" si="4"/>
        <v>80524.55</v>
      </c>
    </row>
    <row r="272" spans="1:7" x14ac:dyDescent="0.25">
      <c r="A272" s="228">
        <v>10.14</v>
      </c>
      <c r="B272" s="249" t="s">
        <v>248</v>
      </c>
      <c r="C272" s="298" t="s">
        <v>5</v>
      </c>
      <c r="D272" s="237">
        <v>1</v>
      </c>
      <c r="E272" s="232">
        <v>10718</v>
      </c>
      <c r="F272" s="233">
        <v>7883.2</v>
      </c>
      <c r="G272" s="244">
        <f t="shared" si="4"/>
        <v>9300.6</v>
      </c>
    </row>
    <row r="273" spans="1:7" x14ac:dyDescent="0.25">
      <c r="A273" s="228">
        <v>10.15</v>
      </c>
      <c r="B273" s="249" t="s">
        <v>249</v>
      </c>
      <c r="C273" s="298" t="s">
        <v>5</v>
      </c>
      <c r="D273" s="237">
        <v>1</v>
      </c>
      <c r="E273" s="232">
        <v>11611</v>
      </c>
      <c r="F273" s="233">
        <v>8065.2</v>
      </c>
      <c r="G273" s="244">
        <f t="shared" si="4"/>
        <v>9838.1</v>
      </c>
    </row>
    <row r="274" spans="1:7" x14ac:dyDescent="0.25">
      <c r="A274" s="228">
        <v>10.16</v>
      </c>
      <c r="B274" s="249" t="s">
        <v>397</v>
      </c>
      <c r="C274" s="298" t="s">
        <v>5</v>
      </c>
      <c r="D274" s="237">
        <v>1</v>
      </c>
      <c r="E274" s="232">
        <v>15311</v>
      </c>
      <c r="F274" s="233">
        <v>8764.6</v>
      </c>
      <c r="G274" s="244">
        <f t="shared" si="4"/>
        <v>12037.8</v>
      </c>
    </row>
    <row r="275" spans="1:7" x14ac:dyDescent="0.25">
      <c r="A275" s="228">
        <v>10.17</v>
      </c>
      <c r="B275" s="249" t="s">
        <v>398</v>
      </c>
      <c r="C275" s="298" t="s">
        <v>5</v>
      </c>
      <c r="D275" s="237">
        <v>1</v>
      </c>
      <c r="E275" s="232">
        <v>20414</v>
      </c>
      <c r="F275" s="233">
        <v>15922.4</v>
      </c>
      <c r="G275" s="244">
        <f t="shared" si="4"/>
        <v>18168.2</v>
      </c>
    </row>
    <row r="276" spans="1:7" x14ac:dyDescent="0.25">
      <c r="A276" s="228">
        <v>10.18</v>
      </c>
      <c r="B276" s="249" t="s">
        <v>250</v>
      </c>
      <c r="C276" s="298" t="s">
        <v>5</v>
      </c>
      <c r="D276" s="237">
        <v>1</v>
      </c>
      <c r="E276" s="232">
        <v>14581</v>
      </c>
      <c r="F276" s="233">
        <v>7618</v>
      </c>
      <c r="G276" s="244">
        <f t="shared" si="4"/>
        <v>11099.5</v>
      </c>
    </row>
    <row r="277" spans="1:7" x14ac:dyDescent="0.25">
      <c r="A277" s="228">
        <v>10.19</v>
      </c>
      <c r="B277" s="249" t="s">
        <v>251</v>
      </c>
      <c r="C277" s="298" t="s">
        <v>5</v>
      </c>
      <c r="D277" s="237">
        <v>1</v>
      </c>
      <c r="E277" s="232">
        <v>18956</v>
      </c>
      <c r="F277" s="233">
        <v>10106.200000000001</v>
      </c>
      <c r="G277" s="244">
        <f t="shared" si="4"/>
        <v>14531.1</v>
      </c>
    </row>
    <row r="278" spans="1:7" x14ac:dyDescent="0.25">
      <c r="A278" s="228">
        <v>10.199999999999999</v>
      </c>
      <c r="B278" s="249" t="s">
        <v>399</v>
      </c>
      <c r="C278" s="298" t="s">
        <v>5</v>
      </c>
      <c r="D278" s="237">
        <v>1</v>
      </c>
      <c r="E278" s="232">
        <v>33537</v>
      </c>
      <c r="F278" s="233">
        <v>17433</v>
      </c>
      <c r="G278" s="244">
        <f t="shared" si="4"/>
        <v>25485</v>
      </c>
    </row>
    <row r="279" spans="1:7" x14ac:dyDescent="0.25">
      <c r="A279" s="228">
        <v>10.210000000000001</v>
      </c>
      <c r="B279" s="249" t="s">
        <v>400</v>
      </c>
      <c r="C279" s="298" t="s">
        <v>5</v>
      </c>
      <c r="D279" s="237">
        <v>1</v>
      </c>
      <c r="E279" s="232">
        <v>48119</v>
      </c>
      <c r="F279" s="233">
        <v>27735.5</v>
      </c>
      <c r="G279" s="244">
        <f t="shared" si="4"/>
        <v>37927.25</v>
      </c>
    </row>
    <row r="280" spans="1:7" x14ac:dyDescent="0.25">
      <c r="A280" s="228">
        <v>10.220000000000001</v>
      </c>
      <c r="B280" s="249" t="s">
        <v>401</v>
      </c>
      <c r="C280" s="298" t="s">
        <v>5</v>
      </c>
      <c r="D280" s="237">
        <v>1</v>
      </c>
      <c r="E280" s="232">
        <v>69991</v>
      </c>
      <c r="F280" s="233">
        <v>38038</v>
      </c>
      <c r="G280" s="244">
        <f t="shared" si="4"/>
        <v>54014.5</v>
      </c>
    </row>
    <row r="281" spans="1:7" x14ac:dyDescent="0.25">
      <c r="A281" s="228">
        <v>10.23</v>
      </c>
      <c r="B281" s="249" t="s">
        <v>402</v>
      </c>
      <c r="C281" s="298" t="s">
        <v>5</v>
      </c>
      <c r="D281" s="237">
        <v>1</v>
      </c>
      <c r="E281" s="232">
        <v>75823</v>
      </c>
      <c r="F281" s="233">
        <v>48522.5</v>
      </c>
      <c r="G281" s="244">
        <f t="shared" si="4"/>
        <v>62172.75</v>
      </c>
    </row>
    <row r="282" spans="1:7" ht="38.25" x14ac:dyDescent="0.25">
      <c r="A282" s="228">
        <v>10.24</v>
      </c>
      <c r="B282" s="245" t="s">
        <v>403</v>
      </c>
      <c r="C282" s="307" t="s">
        <v>3</v>
      </c>
      <c r="D282" s="237">
        <v>1</v>
      </c>
      <c r="E282" s="308">
        <v>216899</v>
      </c>
      <c r="F282" s="309">
        <v>94781.7</v>
      </c>
      <c r="G282" s="244">
        <f t="shared" si="4"/>
        <v>155840.35</v>
      </c>
    </row>
    <row r="283" spans="1:7" x14ac:dyDescent="0.25">
      <c r="A283" s="254">
        <v>10.25</v>
      </c>
      <c r="B283" s="284" t="s">
        <v>404</v>
      </c>
      <c r="C283" s="253" t="s">
        <v>4</v>
      </c>
      <c r="D283" s="237">
        <v>1</v>
      </c>
      <c r="E283" s="232">
        <v>150000</v>
      </c>
      <c r="F283" s="233">
        <v>234000</v>
      </c>
      <c r="G283" s="244">
        <f t="shared" si="4"/>
        <v>192000</v>
      </c>
    </row>
    <row r="284" spans="1:7" ht="25.5" x14ac:dyDescent="0.25">
      <c r="A284" s="254">
        <v>10.26</v>
      </c>
      <c r="B284" s="284" t="s">
        <v>405</v>
      </c>
      <c r="C284" s="253" t="s">
        <v>4</v>
      </c>
      <c r="D284" s="237">
        <v>1</v>
      </c>
      <c r="E284" s="232">
        <v>260000</v>
      </c>
      <c r="F284" s="233">
        <v>205400</v>
      </c>
      <c r="G284" s="244">
        <f t="shared" si="4"/>
        <v>232700</v>
      </c>
    </row>
    <row r="285" spans="1:7" x14ac:dyDescent="0.25">
      <c r="A285" s="254">
        <v>10.27</v>
      </c>
      <c r="B285" s="284" t="s">
        <v>406</v>
      </c>
      <c r="C285" s="253" t="s">
        <v>5</v>
      </c>
      <c r="D285" s="237">
        <v>1</v>
      </c>
      <c r="E285" s="232">
        <v>95000</v>
      </c>
      <c r="F285" s="233">
        <v>89762.4</v>
      </c>
      <c r="G285" s="244">
        <f t="shared" si="4"/>
        <v>92381.2</v>
      </c>
    </row>
    <row r="286" spans="1:7" x14ac:dyDescent="0.25">
      <c r="A286" s="254">
        <v>10.28</v>
      </c>
      <c r="B286" s="284" t="s">
        <v>407</v>
      </c>
      <c r="C286" s="253" t="s">
        <v>5</v>
      </c>
      <c r="D286" s="237">
        <v>1</v>
      </c>
      <c r="E286" s="232">
        <v>128000</v>
      </c>
      <c r="F286" s="233">
        <v>140644.4</v>
      </c>
      <c r="G286" s="244">
        <f t="shared" si="4"/>
        <v>134322.20000000001</v>
      </c>
    </row>
    <row r="287" spans="1:7" x14ac:dyDescent="0.25">
      <c r="A287" s="254">
        <v>10.29</v>
      </c>
      <c r="B287" s="284" t="s">
        <v>408</v>
      </c>
      <c r="C287" s="253" t="s">
        <v>5</v>
      </c>
      <c r="D287" s="237">
        <v>1</v>
      </c>
      <c r="E287" s="232">
        <v>148560</v>
      </c>
      <c r="F287" s="233">
        <v>165100</v>
      </c>
      <c r="G287" s="244">
        <f t="shared" si="4"/>
        <v>156830</v>
      </c>
    </row>
    <row r="288" spans="1:7" x14ac:dyDescent="0.25">
      <c r="A288" s="251">
        <v>10.3</v>
      </c>
      <c r="B288" s="284" t="s">
        <v>409</v>
      </c>
      <c r="C288" s="253" t="s">
        <v>5</v>
      </c>
      <c r="D288" s="237">
        <v>1</v>
      </c>
      <c r="E288" s="232">
        <v>94350</v>
      </c>
      <c r="F288" s="233">
        <v>108810</v>
      </c>
      <c r="G288" s="244">
        <f t="shared" si="4"/>
        <v>101580</v>
      </c>
    </row>
    <row r="289" spans="1:7" x14ac:dyDescent="0.25">
      <c r="A289" s="254">
        <v>10.31</v>
      </c>
      <c r="B289" s="284" t="s">
        <v>410</v>
      </c>
      <c r="C289" s="253" t="s">
        <v>5</v>
      </c>
      <c r="D289" s="237">
        <v>1</v>
      </c>
      <c r="E289" s="232">
        <v>63794</v>
      </c>
      <c r="F289" s="233">
        <v>27357.200000000001</v>
      </c>
      <c r="G289" s="244">
        <f t="shared" si="4"/>
        <v>45575.6</v>
      </c>
    </row>
    <row r="290" spans="1:7" x14ac:dyDescent="0.25">
      <c r="A290" s="251">
        <v>10.32</v>
      </c>
      <c r="B290" s="284" t="s">
        <v>411</v>
      </c>
      <c r="C290" s="253" t="s">
        <v>412</v>
      </c>
      <c r="D290" s="237">
        <v>1</v>
      </c>
      <c r="E290" s="232">
        <v>360000</v>
      </c>
      <c r="F290" s="233">
        <v>511004</v>
      </c>
      <c r="G290" s="244">
        <f t="shared" si="4"/>
        <v>435502</v>
      </c>
    </row>
    <row r="291" spans="1:7" x14ac:dyDescent="0.25">
      <c r="A291" s="254">
        <v>10.33</v>
      </c>
      <c r="B291" s="284" t="s">
        <v>413</v>
      </c>
      <c r="C291" s="253" t="s">
        <v>5</v>
      </c>
      <c r="D291" s="237">
        <v>1</v>
      </c>
      <c r="E291" s="232">
        <v>6321</v>
      </c>
      <c r="F291" s="233">
        <v>24544</v>
      </c>
      <c r="G291" s="244">
        <f t="shared" si="4"/>
        <v>15432.5</v>
      </c>
    </row>
    <row r="292" spans="1:7" x14ac:dyDescent="0.25">
      <c r="A292" s="254">
        <v>10.34</v>
      </c>
      <c r="B292" s="284" t="s">
        <v>414</v>
      </c>
      <c r="C292" s="253" t="s">
        <v>412</v>
      </c>
      <c r="D292" s="237">
        <v>1</v>
      </c>
      <c r="E292" s="232">
        <v>42500</v>
      </c>
      <c r="F292" s="233">
        <v>43147</v>
      </c>
      <c r="G292" s="244">
        <f t="shared" si="4"/>
        <v>42823.5</v>
      </c>
    </row>
    <row r="293" spans="1:7" x14ac:dyDescent="0.25">
      <c r="A293" s="254">
        <v>10.35</v>
      </c>
      <c r="B293" s="284" t="s">
        <v>415</v>
      </c>
      <c r="C293" s="253" t="s">
        <v>412</v>
      </c>
      <c r="D293" s="237">
        <v>1</v>
      </c>
      <c r="E293" s="232">
        <v>42500</v>
      </c>
      <c r="F293" s="233">
        <v>40547</v>
      </c>
      <c r="G293" s="244">
        <f t="shared" si="4"/>
        <v>41523.5</v>
      </c>
    </row>
    <row r="294" spans="1:7" x14ac:dyDescent="0.25">
      <c r="A294" s="254">
        <v>10.36</v>
      </c>
      <c r="B294" s="284" t="s">
        <v>416</v>
      </c>
      <c r="C294" s="253" t="s">
        <v>412</v>
      </c>
      <c r="D294" s="237">
        <v>1</v>
      </c>
      <c r="E294" s="232">
        <v>345000</v>
      </c>
      <c r="F294" s="233">
        <v>445874</v>
      </c>
      <c r="G294" s="244">
        <f t="shared" si="4"/>
        <v>395437</v>
      </c>
    </row>
    <row r="295" spans="1:7" ht="26.25" thickBot="1" x14ac:dyDescent="0.3">
      <c r="A295" s="256">
        <v>10.37</v>
      </c>
      <c r="B295" s="300" t="s">
        <v>417</v>
      </c>
      <c r="C295" s="258" t="s">
        <v>2</v>
      </c>
      <c r="D295" s="259">
        <v>1</v>
      </c>
      <c r="E295" s="260">
        <v>435890</v>
      </c>
      <c r="F295" s="261">
        <v>280900.09999999998</v>
      </c>
      <c r="G295" s="275">
        <f t="shared" si="4"/>
        <v>358395.05</v>
      </c>
    </row>
    <row r="296" spans="1:7" ht="16.5" thickBot="1" x14ac:dyDescent="0.3">
      <c r="A296" s="41"/>
      <c r="B296" s="42" t="s">
        <v>252</v>
      </c>
      <c r="C296" s="46"/>
      <c r="D296" s="310"/>
      <c r="E296" s="264">
        <f>SUM(E259:E295)</f>
        <v>24021655</v>
      </c>
      <c r="F296" s="265">
        <f>SUM(F259:F295)</f>
        <v>7191262</v>
      </c>
      <c r="G296" s="266">
        <f>SUM(G259:G295)</f>
        <v>7372103.9999999991</v>
      </c>
    </row>
    <row r="297" spans="1:7" ht="15.75" x14ac:dyDescent="0.25">
      <c r="A297" s="267">
        <v>11</v>
      </c>
      <c r="B297" s="268" t="s">
        <v>115</v>
      </c>
      <c r="C297" s="276"/>
      <c r="D297" s="277"/>
      <c r="E297" s="278"/>
      <c r="F297" s="279"/>
      <c r="G297" s="273"/>
    </row>
    <row r="298" spans="1:7" ht="25.5" x14ac:dyDescent="0.25">
      <c r="A298" s="311">
        <v>11.01</v>
      </c>
      <c r="B298" s="295" t="s">
        <v>253</v>
      </c>
      <c r="C298" s="248" t="s">
        <v>3</v>
      </c>
      <c r="D298" s="237">
        <v>1</v>
      </c>
      <c r="E298" s="312">
        <v>1039839</v>
      </c>
      <c r="F298" s="313">
        <v>794300</v>
      </c>
      <c r="G298" s="244">
        <f>(F298)/1</f>
        <v>794300</v>
      </c>
    </row>
    <row r="299" spans="1:7" ht="38.25" x14ac:dyDescent="0.25">
      <c r="A299" s="311">
        <v>11.02</v>
      </c>
      <c r="B299" s="295" t="s">
        <v>254</v>
      </c>
      <c r="C299" s="248" t="s">
        <v>3</v>
      </c>
      <c r="D299" s="237">
        <v>1</v>
      </c>
      <c r="E299" s="312">
        <v>1039839</v>
      </c>
      <c r="F299" s="313">
        <v>549900</v>
      </c>
      <c r="G299" s="244">
        <f>(F299)/1</f>
        <v>549900</v>
      </c>
    </row>
    <row r="300" spans="1:7" ht="38.25" x14ac:dyDescent="0.25">
      <c r="A300" s="311">
        <v>11.03</v>
      </c>
      <c r="B300" s="295" t="s">
        <v>255</v>
      </c>
      <c r="C300" s="248" t="s">
        <v>3</v>
      </c>
      <c r="D300" s="237">
        <v>1</v>
      </c>
      <c r="E300" s="312">
        <v>1091831</v>
      </c>
      <c r="F300" s="313">
        <v>794300</v>
      </c>
      <c r="G300" s="244">
        <f>(F300)/1</f>
        <v>794300</v>
      </c>
    </row>
    <row r="301" spans="1:7" x14ac:dyDescent="0.25">
      <c r="A301" s="311">
        <v>11.04</v>
      </c>
      <c r="B301" s="295" t="s">
        <v>117</v>
      </c>
      <c r="C301" s="248" t="s">
        <v>3</v>
      </c>
      <c r="D301" s="237">
        <v>1</v>
      </c>
      <c r="E301" s="314">
        <v>229658</v>
      </c>
      <c r="F301" s="313">
        <v>167755.9</v>
      </c>
      <c r="G301" s="244">
        <f t="shared" si="4"/>
        <v>198706.95</v>
      </c>
    </row>
    <row r="302" spans="1:7" ht="38.25" x14ac:dyDescent="0.25">
      <c r="A302" s="311">
        <v>11.05</v>
      </c>
      <c r="B302" s="295" t="s">
        <v>256</v>
      </c>
      <c r="C302" s="248" t="s">
        <v>3</v>
      </c>
      <c r="D302" s="237">
        <v>1</v>
      </c>
      <c r="E302" s="312">
        <v>1091831</v>
      </c>
      <c r="F302" s="313">
        <v>672100</v>
      </c>
      <c r="G302" s="244">
        <f>(F302)/1</f>
        <v>672100</v>
      </c>
    </row>
    <row r="303" spans="1:7" ht="26.25" thickBot="1" x14ac:dyDescent="0.3">
      <c r="A303" s="315">
        <v>11.06</v>
      </c>
      <c r="B303" s="316" t="s">
        <v>257</v>
      </c>
      <c r="C303" s="317" t="s">
        <v>3</v>
      </c>
      <c r="D303" s="259">
        <v>1</v>
      </c>
      <c r="E303" s="318">
        <v>1033460</v>
      </c>
      <c r="F303" s="319">
        <v>488800</v>
      </c>
      <c r="G303" s="275">
        <f>(F303)/1</f>
        <v>488800</v>
      </c>
    </row>
    <row r="304" spans="1:7" ht="16.5" thickBot="1" x14ac:dyDescent="0.3">
      <c r="A304" s="49"/>
      <c r="B304" s="38" t="s">
        <v>258</v>
      </c>
      <c r="C304" s="50"/>
      <c r="D304" s="320"/>
      <c r="E304" s="264">
        <f>SUM(E298:E303)</f>
        <v>5526458</v>
      </c>
      <c r="F304" s="265">
        <f>SUM(F298:F303)</f>
        <v>3467155.9</v>
      </c>
      <c r="G304" s="266">
        <f>SUM(G298:G303)</f>
        <v>3498106.95</v>
      </c>
    </row>
    <row r="305" spans="1:7" ht="15.75" x14ac:dyDescent="0.25">
      <c r="A305" s="267">
        <v>12</v>
      </c>
      <c r="B305" s="268" t="s">
        <v>418</v>
      </c>
      <c r="C305" s="276"/>
      <c r="D305" s="277"/>
      <c r="E305" s="278"/>
      <c r="F305" s="279"/>
      <c r="G305" s="273"/>
    </row>
    <row r="306" spans="1:7" x14ac:dyDescent="0.25">
      <c r="A306" s="51">
        <v>12.01</v>
      </c>
      <c r="B306" s="295" t="s">
        <v>259</v>
      </c>
      <c r="C306" s="52" t="s">
        <v>3</v>
      </c>
      <c r="D306" s="321">
        <v>1</v>
      </c>
      <c r="E306" s="322">
        <v>13450</v>
      </c>
      <c r="F306" s="323">
        <v>16911.7</v>
      </c>
      <c r="G306" s="244">
        <f t="shared" si="4"/>
        <v>15180.85</v>
      </c>
    </row>
    <row r="307" spans="1:7" x14ac:dyDescent="0.25">
      <c r="A307" s="51">
        <v>12.02</v>
      </c>
      <c r="B307" s="295" t="s">
        <v>260</v>
      </c>
      <c r="C307" s="52" t="s">
        <v>3</v>
      </c>
      <c r="D307" s="321">
        <v>1</v>
      </c>
      <c r="E307" s="322">
        <v>13450</v>
      </c>
      <c r="F307" s="323">
        <v>17128.8</v>
      </c>
      <c r="G307" s="244">
        <f t="shared" si="4"/>
        <v>15289.4</v>
      </c>
    </row>
    <row r="308" spans="1:7" ht="51" x14ac:dyDescent="0.25">
      <c r="A308" s="44">
        <v>12.03</v>
      </c>
      <c r="B308" s="324" t="s">
        <v>126</v>
      </c>
      <c r="C308" s="40" t="s">
        <v>3</v>
      </c>
      <c r="D308" s="321">
        <v>1</v>
      </c>
      <c r="E308" s="325">
        <v>25700</v>
      </c>
      <c r="F308" s="326">
        <v>21313.5</v>
      </c>
      <c r="G308" s="244">
        <f t="shared" si="4"/>
        <v>23506.75</v>
      </c>
    </row>
    <row r="309" spans="1:7" x14ac:dyDescent="0.25">
      <c r="A309" s="51">
        <v>12.04</v>
      </c>
      <c r="B309" s="238" t="s">
        <v>48</v>
      </c>
      <c r="C309" s="29" t="s">
        <v>5</v>
      </c>
      <c r="D309" s="321">
        <v>1</v>
      </c>
      <c r="E309" s="325">
        <v>7000</v>
      </c>
      <c r="F309" s="326">
        <v>19043.7</v>
      </c>
      <c r="G309" s="244">
        <f t="shared" si="4"/>
        <v>13021.85</v>
      </c>
    </row>
    <row r="310" spans="1:7" x14ac:dyDescent="0.25">
      <c r="A310" s="51">
        <v>12.05</v>
      </c>
      <c r="B310" s="284" t="s">
        <v>50</v>
      </c>
      <c r="C310" s="40" t="s">
        <v>4</v>
      </c>
      <c r="D310" s="321">
        <v>1</v>
      </c>
      <c r="E310" s="325">
        <v>58000</v>
      </c>
      <c r="F310" s="326">
        <v>72619.3</v>
      </c>
      <c r="G310" s="244">
        <f t="shared" si="4"/>
        <v>65309.65</v>
      </c>
    </row>
    <row r="311" spans="1:7" ht="51" x14ac:dyDescent="0.25">
      <c r="A311" s="44">
        <v>12.06</v>
      </c>
      <c r="B311" s="284" t="s">
        <v>18</v>
      </c>
      <c r="C311" s="34" t="s">
        <v>3</v>
      </c>
      <c r="D311" s="321">
        <v>1</v>
      </c>
      <c r="E311" s="325">
        <v>17890</v>
      </c>
      <c r="F311" s="326">
        <v>39978.9</v>
      </c>
      <c r="G311" s="244">
        <f t="shared" si="4"/>
        <v>28934.45</v>
      </c>
    </row>
    <row r="312" spans="1:7" ht="63.75" x14ac:dyDescent="0.25">
      <c r="A312" s="51">
        <v>12.07</v>
      </c>
      <c r="B312" s="284" t="s">
        <v>261</v>
      </c>
      <c r="C312" s="34" t="s">
        <v>3</v>
      </c>
      <c r="D312" s="321">
        <v>1</v>
      </c>
      <c r="E312" s="325">
        <v>13450</v>
      </c>
      <c r="F312" s="326">
        <v>39978.9</v>
      </c>
      <c r="G312" s="244">
        <f t="shared" si="4"/>
        <v>26714.45</v>
      </c>
    </row>
    <row r="313" spans="1:7" ht="25.5" x14ac:dyDescent="0.25">
      <c r="A313" s="53">
        <v>12.08</v>
      </c>
      <c r="B313" s="300" t="s">
        <v>46</v>
      </c>
      <c r="C313" s="33" t="s">
        <v>3</v>
      </c>
      <c r="D313" s="321">
        <v>1</v>
      </c>
      <c r="E313" s="325">
        <v>25340</v>
      </c>
      <c r="F313" s="326">
        <v>19476.599999999999</v>
      </c>
      <c r="G313" s="244">
        <f t="shared" si="4"/>
        <v>22408.3</v>
      </c>
    </row>
    <row r="314" spans="1:7" ht="15.75" thickBot="1" x14ac:dyDescent="0.3">
      <c r="A314" s="53">
        <v>12.09</v>
      </c>
      <c r="B314" s="300" t="s">
        <v>419</v>
      </c>
      <c r="C314" s="33" t="s">
        <v>3</v>
      </c>
      <c r="D314" s="327">
        <v>1</v>
      </c>
      <c r="E314" s="328">
        <v>7656</v>
      </c>
      <c r="F314" s="329">
        <v>7070.7</v>
      </c>
      <c r="G314" s="275">
        <f t="shared" si="4"/>
        <v>7363.35</v>
      </c>
    </row>
    <row r="315" spans="1:7" ht="16.5" thickBot="1" x14ac:dyDescent="0.3">
      <c r="A315" s="54"/>
      <c r="B315" s="55" t="s">
        <v>262</v>
      </c>
      <c r="C315" s="56"/>
      <c r="D315" s="330"/>
      <c r="E315" s="264">
        <f>SUM(E306:E314)</f>
        <v>181936</v>
      </c>
      <c r="F315" s="265">
        <f>SUM(F306:F314)</f>
        <v>253522.1</v>
      </c>
      <c r="G315" s="266">
        <f>SUM(G306:G314)</f>
        <v>217729.05000000002</v>
      </c>
    </row>
    <row r="316" spans="1:7" ht="16.5" thickBot="1" x14ac:dyDescent="0.3">
      <c r="A316" s="57"/>
      <c r="B316" s="55" t="s">
        <v>128</v>
      </c>
      <c r="C316" s="56"/>
      <c r="D316" s="330"/>
      <c r="E316" s="331">
        <f>+E73+E81+E86+E93+E126+E154+E186+E204+E257+E296+E304+E315</f>
        <v>62826763</v>
      </c>
      <c r="F316" s="332">
        <f>+F73+F81+F86+F93+F126+F154+F186+F204+F257+F296+F304+F315</f>
        <v>40832252.530000001</v>
      </c>
      <c r="G316" s="266">
        <f>G73+G81+G86+G93+G126+G154+G186+G204+G257+G296+G304+G315</f>
        <v>38005330.214999996</v>
      </c>
    </row>
    <row r="317" spans="1:7" ht="15.75" x14ac:dyDescent="0.25">
      <c r="A317" s="333"/>
      <c r="B317" s="334" t="s">
        <v>263</v>
      </c>
      <c r="C317" s="335" t="s">
        <v>264</v>
      </c>
      <c r="D317" s="336"/>
      <c r="E317" s="337"/>
      <c r="F317" s="338"/>
      <c r="G317" s="339"/>
    </row>
    <row r="318" spans="1:7" ht="15.75" x14ac:dyDescent="0.25">
      <c r="A318" s="47"/>
      <c r="B318" s="252" t="s">
        <v>265</v>
      </c>
      <c r="C318" s="58">
        <v>0.13</v>
      </c>
      <c r="D318" s="340"/>
      <c r="E318" s="341">
        <f>+E316*C318</f>
        <v>8167479.1900000004</v>
      </c>
      <c r="F318" s="342">
        <f>+F316*C318</f>
        <v>5308192.8289000001</v>
      </c>
      <c r="G318" s="343">
        <f>G316*C318</f>
        <v>4940692.9279499995</v>
      </c>
    </row>
    <row r="319" spans="1:7" ht="15.75" x14ac:dyDescent="0.25">
      <c r="A319" s="47"/>
      <c r="B319" s="252" t="s">
        <v>266</v>
      </c>
      <c r="C319" s="58">
        <v>0.02</v>
      </c>
      <c r="D319" s="340"/>
      <c r="E319" s="341">
        <f>+C319*E316</f>
        <v>1256535.26</v>
      </c>
      <c r="F319" s="342">
        <f>+C319*F316</f>
        <v>816645.05060000008</v>
      </c>
      <c r="G319" s="343">
        <f>G316*C319</f>
        <v>760106.60429999989</v>
      </c>
    </row>
    <row r="320" spans="1:7" ht="15.75" x14ac:dyDescent="0.25">
      <c r="A320" s="47"/>
      <c r="B320" s="252" t="s">
        <v>267</v>
      </c>
      <c r="C320" s="58">
        <v>0.05</v>
      </c>
      <c r="D320" s="340"/>
      <c r="E320" s="341">
        <f>+C320*E316</f>
        <v>3141338.1500000004</v>
      </c>
      <c r="F320" s="342">
        <f>+C320*F316</f>
        <v>2041612.6265000002</v>
      </c>
      <c r="G320" s="343">
        <f>G316*C320</f>
        <v>1900266.5107499999</v>
      </c>
    </row>
    <row r="321" spans="1:7" ht="16.5" thickBot="1" x14ac:dyDescent="0.3">
      <c r="A321" s="48"/>
      <c r="B321" s="257" t="s">
        <v>268</v>
      </c>
      <c r="C321" s="59">
        <v>0.19</v>
      </c>
      <c r="D321" s="344"/>
      <c r="E321" s="345">
        <f>+C321*E320</f>
        <v>596854.2485000001</v>
      </c>
      <c r="F321" s="346">
        <f>+C321*F320</f>
        <v>387906.39903500007</v>
      </c>
      <c r="G321" s="343">
        <f>G320*C321</f>
        <v>361050.63704249996</v>
      </c>
    </row>
    <row r="322" spans="1:7" ht="16.5" thickBot="1" x14ac:dyDescent="0.3">
      <c r="A322" s="57"/>
      <c r="B322" s="55" t="s">
        <v>129</v>
      </c>
      <c r="C322" s="56"/>
      <c r="D322" s="330"/>
      <c r="E322" s="331">
        <f>SUM(E318:E321)</f>
        <v>13162206.848500002</v>
      </c>
      <c r="F322" s="332">
        <f>SUM(F318:F321)</f>
        <v>8554356.9050350003</v>
      </c>
      <c r="G322" s="266">
        <f>SUM(G318:G321)</f>
        <v>7962116.6800424997</v>
      </c>
    </row>
    <row r="323" spans="1:7" ht="19.5" thickBot="1" x14ac:dyDescent="0.35">
      <c r="A323" s="347"/>
      <c r="B323" s="348" t="s">
        <v>130</v>
      </c>
      <c r="C323" s="349"/>
      <c r="D323" s="350"/>
      <c r="E323" s="351">
        <f>+E316+E322</f>
        <v>75988969.848499998</v>
      </c>
      <c r="F323" s="352">
        <f>+F316+F322</f>
        <v>49386609.435035005</v>
      </c>
      <c r="G323" s="353">
        <f>G316+G322</f>
        <v>45967446.895042494</v>
      </c>
    </row>
  </sheetData>
  <mergeCells count="7">
    <mergeCell ref="A1:B2"/>
    <mergeCell ref="C1:G2"/>
    <mergeCell ref="A3:A4"/>
    <mergeCell ref="B3:B4"/>
    <mergeCell ref="C3:C4"/>
    <mergeCell ref="D3:D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9"/>
  <sheetViews>
    <sheetView zoomScale="130" zoomScaleNormal="130" workbookViewId="0">
      <pane xSplit="5" ySplit="1" topLeftCell="Q2" activePane="bottomRight" state="frozen"/>
      <selection pane="topRight" activeCell="F1" sqref="F1"/>
      <selection pane="bottomLeft" activeCell="A2" sqref="A2"/>
      <selection pane="bottomRight" activeCell="Q9" sqref="Q9"/>
    </sheetView>
  </sheetViews>
  <sheetFormatPr baseColWidth="10" defaultRowHeight="15" x14ac:dyDescent="0.25"/>
  <cols>
    <col min="1" max="1" width="4.42578125" style="2" bestFit="1" customWidth="1"/>
    <col min="2" max="2" width="30.85546875" style="10" customWidth="1"/>
    <col min="3" max="3" width="6.140625" style="2" bestFit="1" customWidth="1"/>
    <col min="4" max="4" width="6.42578125" style="2" bestFit="1" customWidth="1"/>
    <col min="5" max="5" width="14.7109375" style="374" bestFit="1" customWidth="1"/>
    <col min="6" max="6" width="12.28515625" style="19" customWidth="1"/>
    <col min="7" max="7" width="10.7109375" style="19" customWidth="1"/>
    <col min="8" max="8" width="14.28515625" style="19" customWidth="1"/>
    <col min="9" max="9" width="10.7109375" style="19" customWidth="1"/>
    <col min="10" max="10" width="12.28515625" style="19" customWidth="1"/>
    <col min="11" max="11" width="10.7109375" style="19" customWidth="1"/>
    <col min="12" max="12" width="12.28515625" style="19" customWidth="1"/>
    <col min="13" max="13" width="10.7109375" style="19" customWidth="1"/>
    <col min="14" max="14" width="12.28515625" style="19" customWidth="1"/>
    <col min="15" max="15" width="10.7109375" style="19" customWidth="1"/>
    <col min="16" max="17" width="12.28515625" style="363" customWidth="1"/>
    <col min="18" max="18" width="12.28515625" style="19" customWidth="1"/>
    <col min="19" max="19" width="10.7109375" style="19" customWidth="1"/>
    <col min="20" max="20" width="12.28515625" style="19" customWidth="1"/>
    <col min="21" max="21" width="10.7109375" style="19" customWidth="1"/>
    <col min="22" max="22" width="14.7109375" style="374" bestFit="1" customWidth="1"/>
    <col min="23" max="23" width="12.28515625" style="19" customWidth="1"/>
    <col min="24" max="24" width="10.7109375" style="19" customWidth="1"/>
    <col min="25" max="25" width="12.28515625" style="19" customWidth="1"/>
    <col min="26" max="26" width="10.7109375" style="19" customWidth="1"/>
  </cols>
  <sheetData>
    <row r="1" spans="1:26" x14ac:dyDescent="0.25">
      <c r="A1" s="11" t="s">
        <v>127</v>
      </c>
      <c r="B1" s="12" t="s">
        <v>7</v>
      </c>
      <c r="C1" s="12" t="s">
        <v>4</v>
      </c>
      <c r="D1" s="12" t="s">
        <v>138</v>
      </c>
      <c r="E1" s="364" t="s">
        <v>137</v>
      </c>
      <c r="F1" s="365" t="e">
        <f>#REF!</f>
        <v>#REF!</v>
      </c>
      <c r="G1" s="365" t="s">
        <v>271</v>
      </c>
      <c r="H1" s="365" t="e">
        <f>#REF!</f>
        <v>#REF!</v>
      </c>
      <c r="I1" s="365" t="s">
        <v>271</v>
      </c>
      <c r="J1" s="365" t="e">
        <f>#REF!</f>
        <v>#REF!</v>
      </c>
      <c r="K1" s="365" t="s">
        <v>271</v>
      </c>
      <c r="L1" s="365" t="e">
        <f>#REF!</f>
        <v>#REF!</v>
      </c>
      <c r="M1" s="365" t="s">
        <v>271</v>
      </c>
      <c r="N1" s="365" t="e">
        <f>#REF!</f>
        <v>#REF!</v>
      </c>
      <c r="O1" s="365" t="s">
        <v>271</v>
      </c>
      <c r="P1" s="366" t="e">
        <f>#REF!</f>
        <v>#REF!</v>
      </c>
      <c r="Q1" s="366" t="s">
        <v>271</v>
      </c>
      <c r="R1" s="365" t="e">
        <f>#REF!</f>
        <v>#REF!</v>
      </c>
      <c r="S1" s="365" t="s">
        <v>271</v>
      </c>
      <c r="T1" s="365" t="e">
        <f>#REF!</f>
        <v>#REF!</v>
      </c>
      <c r="U1" s="365" t="s">
        <v>271</v>
      </c>
      <c r="V1" s="364" t="s">
        <v>137</v>
      </c>
      <c r="W1" s="365" t="e">
        <f>#REF!</f>
        <v>#REF!</v>
      </c>
      <c r="X1" s="365" t="s">
        <v>271</v>
      </c>
      <c r="Y1" s="365" t="e">
        <f>#REF!</f>
        <v>#REF!</v>
      </c>
      <c r="Z1" s="365" t="s">
        <v>271</v>
      </c>
    </row>
    <row r="2" spans="1:26" ht="27" x14ac:dyDescent="0.25">
      <c r="A2" s="216">
        <v>1</v>
      </c>
      <c r="B2" s="5" t="s">
        <v>292</v>
      </c>
      <c r="C2" s="6" t="s">
        <v>4</v>
      </c>
      <c r="D2" s="3">
        <v>1</v>
      </c>
      <c r="E2" s="367">
        <v>4568383</v>
      </c>
      <c r="F2" s="368">
        <v>3754160</v>
      </c>
      <c r="G2" s="368">
        <f>$E$2-F2</f>
        <v>814223</v>
      </c>
      <c r="H2" s="368">
        <v>4568379.8</v>
      </c>
      <c r="I2" s="368">
        <f>$E$2-H2</f>
        <v>3.2000000001862645</v>
      </c>
      <c r="J2" s="368">
        <v>4521785.4000000004</v>
      </c>
      <c r="K2" s="368">
        <f>$E$2-J2</f>
        <v>46597.599999999627</v>
      </c>
      <c r="L2" s="368">
        <v>4454171</v>
      </c>
      <c r="M2" s="368">
        <f>$E$2-L2</f>
        <v>114212</v>
      </c>
      <c r="N2" s="368">
        <v>4462624.9335500002</v>
      </c>
      <c r="O2" s="368">
        <f>$E$2-N2</f>
        <v>105758.06644999981</v>
      </c>
      <c r="P2" s="369"/>
      <c r="Q2" s="369">
        <f>$E$2-P2</f>
        <v>4568383</v>
      </c>
      <c r="R2" s="368">
        <v>4454619.8</v>
      </c>
      <c r="S2" s="368">
        <f>$E$2-R2</f>
        <v>113763.20000000019</v>
      </c>
      <c r="T2" s="368">
        <v>4449105.4000000004</v>
      </c>
      <c r="U2" s="368">
        <f>$E$2-T2</f>
        <v>119277.59999999963</v>
      </c>
      <c r="V2" s="367">
        <v>4568383</v>
      </c>
      <c r="W2" s="368">
        <v>4479371</v>
      </c>
      <c r="X2" s="368">
        <f>$E$2-W2</f>
        <v>89012</v>
      </c>
      <c r="Y2" s="368">
        <v>4481584</v>
      </c>
      <c r="Z2" s="368">
        <f>$E$2-Y2</f>
        <v>86799</v>
      </c>
    </row>
    <row r="3" spans="1:26" x14ac:dyDescent="0.25">
      <c r="A3" s="216">
        <v>2</v>
      </c>
      <c r="B3" s="5" t="s">
        <v>299</v>
      </c>
      <c r="C3" s="6" t="s">
        <v>4</v>
      </c>
      <c r="D3" s="3">
        <v>1</v>
      </c>
      <c r="E3" s="367">
        <v>26508156.666666668</v>
      </c>
      <c r="F3" s="368">
        <v>25389300</v>
      </c>
      <c r="G3" s="368">
        <f>$E$3-F3</f>
        <v>1118856.6666666679</v>
      </c>
      <c r="H3" s="368">
        <v>24654100</v>
      </c>
      <c r="I3" s="368">
        <f>$E$3-H3</f>
        <v>1854056.6666666679</v>
      </c>
      <c r="J3" s="368">
        <v>26237760</v>
      </c>
      <c r="K3" s="368">
        <f>$E$3-J3</f>
        <v>270396.66666666791</v>
      </c>
      <c r="L3" s="368">
        <v>25845510</v>
      </c>
      <c r="M3" s="368">
        <f>$E$3-L3</f>
        <v>662646.66666666791</v>
      </c>
      <c r="N3" s="368">
        <v>25894493.165449999</v>
      </c>
      <c r="O3" s="368">
        <f>$E$3-N3</f>
        <v>613663.50121666864</v>
      </c>
      <c r="P3" s="369"/>
      <c r="Q3" s="369">
        <f>$E$3-P3</f>
        <v>26508156.666666668</v>
      </c>
      <c r="R3" s="368">
        <v>25847970</v>
      </c>
      <c r="S3" s="368">
        <f>$E$3-R3</f>
        <v>660186.66666666791</v>
      </c>
      <c r="T3" s="368">
        <v>25815980</v>
      </c>
      <c r="U3" s="368">
        <f>$E$3-T3</f>
        <v>692176.66666666791</v>
      </c>
      <c r="V3" s="367">
        <v>26508156.666666668</v>
      </c>
      <c r="W3" s="368">
        <v>25991661</v>
      </c>
      <c r="X3" s="368">
        <f>$E$3-W3</f>
        <v>516495.66666666791</v>
      </c>
      <c r="Y3" s="368">
        <v>26004502</v>
      </c>
      <c r="Z3" s="368">
        <f>$E$3-Y3</f>
        <v>503654.66666666791</v>
      </c>
    </row>
    <row r="4" spans="1:26" x14ac:dyDescent="0.25">
      <c r="A4" s="216">
        <v>3</v>
      </c>
      <c r="B4" s="4" t="s">
        <v>308</v>
      </c>
      <c r="C4" s="6" t="s">
        <v>4</v>
      </c>
      <c r="D4" s="3">
        <v>1</v>
      </c>
      <c r="E4" s="367">
        <v>18398710.550000001</v>
      </c>
      <c r="F4" s="368">
        <v>17482807.399999999</v>
      </c>
      <c r="G4" s="368">
        <f>$E$4-F4</f>
        <v>915903.15000000224</v>
      </c>
      <c r="H4" s="368">
        <v>18398561</v>
      </c>
      <c r="I4" s="368">
        <f>$E$4-H4</f>
        <v>149.55000000074506</v>
      </c>
      <c r="J4" s="368">
        <v>18210996.310000002</v>
      </c>
      <c r="K4" s="368">
        <f>$E$4-J4</f>
        <v>187714.23999999836</v>
      </c>
      <c r="L4" s="368">
        <v>17938779</v>
      </c>
      <c r="M4" s="368">
        <f>$E$4-L4</f>
        <v>459931.55000000075</v>
      </c>
      <c r="N4" s="368">
        <v>17972780.840350002</v>
      </c>
      <c r="O4" s="368">
        <f>$E$4-N4</f>
        <v>425929.70964999869</v>
      </c>
      <c r="P4" s="369"/>
      <c r="Q4" s="369">
        <f>$E$4-P4</f>
        <v>18398710.550000001</v>
      </c>
      <c r="R4" s="368">
        <v>17940106.75</v>
      </c>
      <c r="S4" s="368">
        <f>$E$4-R4</f>
        <v>458603.80000000075</v>
      </c>
      <c r="T4" s="368">
        <v>17918257.240000002</v>
      </c>
      <c r="U4" s="368">
        <f>$E$4-T4</f>
        <v>480453.30999999866</v>
      </c>
      <c r="V4" s="367">
        <v>18398710.550000001</v>
      </c>
      <c r="W4" s="368">
        <v>18040223</v>
      </c>
      <c r="X4" s="368">
        <f>$E$4-W4</f>
        <v>358487.55000000075</v>
      </c>
      <c r="Y4" s="368">
        <v>18049135</v>
      </c>
      <c r="Z4" s="368">
        <f>$E$4-Y4</f>
        <v>349575.55000000075</v>
      </c>
    </row>
    <row r="5" spans="1:26" x14ac:dyDescent="0.25">
      <c r="A5" s="216">
        <v>4</v>
      </c>
      <c r="B5" s="4" t="s">
        <v>314</v>
      </c>
      <c r="C5" s="6" t="s">
        <v>4</v>
      </c>
      <c r="D5" s="3">
        <v>1</v>
      </c>
      <c r="E5" s="367">
        <v>9464086.666666666</v>
      </c>
      <c r="F5" s="368">
        <v>9178000</v>
      </c>
      <c r="G5" s="368">
        <f>$E$5-F5</f>
        <v>286086.66666666605</v>
      </c>
      <c r="H5" s="368">
        <v>9321000</v>
      </c>
      <c r="I5" s="368">
        <f>$E$5-H5</f>
        <v>143086.66666666605</v>
      </c>
      <c r="J5" s="368">
        <v>9367540</v>
      </c>
      <c r="K5" s="368">
        <f>$E$5-J5</f>
        <v>96546.666666666046</v>
      </c>
      <c r="L5" s="368">
        <v>9227530</v>
      </c>
      <c r="M5" s="368">
        <f>$E$5-L5</f>
        <v>236556.66666666605</v>
      </c>
      <c r="N5" s="368">
        <v>9244992.4090999998</v>
      </c>
      <c r="O5" s="368">
        <f>$E$5-N5</f>
        <v>219094.25756666623</v>
      </c>
      <c r="P5" s="369"/>
      <c r="Q5" s="369">
        <f>$E$5-P5</f>
        <v>9464086.666666666</v>
      </c>
      <c r="R5" s="368">
        <v>9228310</v>
      </c>
      <c r="S5" s="368">
        <f>$E$5-R5</f>
        <v>235776.66666666605</v>
      </c>
      <c r="T5" s="368">
        <v>9217000</v>
      </c>
      <c r="U5" s="368">
        <f>$E$5-T5</f>
        <v>247086.66666666605</v>
      </c>
      <c r="V5" s="367">
        <v>9464086.666666666</v>
      </c>
      <c r="W5" s="368">
        <v>9279684</v>
      </c>
      <c r="X5" s="368">
        <f>$E$5-W5</f>
        <v>184402.66666666605</v>
      </c>
      <c r="Y5" s="368">
        <v>9284269</v>
      </c>
      <c r="Z5" s="368">
        <f>$E$5-Y5</f>
        <v>179817.66666666605</v>
      </c>
    </row>
    <row r="6" spans="1:26" ht="27" x14ac:dyDescent="0.25">
      <c r="A6" s="216">
        <v>5</v>
      </c>
      <c r="B6" s="4" t="s">
        <v>323</v>
      </c>
      <c r="C6" s="6" t="s">
        <v>4</v>
      </c>
      <c r="D6" s="3">
        <v>1</v>
      </c>
      <c r="E6" s="367">
        <v>46259409</v>
      </c>
      <c r="F6" s="368">
        <v>43230537</v>
      </c>
      <c r="G6" s="368">
        <f>$E$6-F6</f>
        <v>3028872</v>
      </c>
      <c r="H6" s="368">
        <v>46232106.090000004</v>
      </c>
      <c r="I6" s="368">
        <f>$E$6-H6</f>
        <v>27302.909999996424</v>
      </c>
      <c r="J6" s="368">
        <v>45787567.879999995</v>
      </c>
      <c r="K6" s="368">
        <f>$E$6-J6</f>
        <v>471841.12000000477</v>
      </c>
      <c r="L6" s="368">
        <v>45102912</v>
      </c>
      <c r="M6" s="368">
        <f>$E$6-L6</f>
        <v>1156497</v>
      </c>
      <c r="N6" s="368">
        <v>45188503.681649998</v>
      </c>
      <c r="O6" s="368">
        <f>$E$6-N6</f>
        <v>1070905.3183500022</v>
      </c>
      <c r="P6" s="369"/>
      <c r="Q6" s="369">
        <f>$E$6-P6</f>
        <v>46259409</v>
      </c>
      <c r="R6" s="368">
        <v>45107495.07</v>
      </c>
      <c r="S6" s="368">
        <f>$E$6-R6</f>
        <v>1151913.9299999997</v>
      </c>
      <c r="T6" s="368">
        <v>45051579.310000002</v>
      </c>
      <c r="U6" s="368">
        <f>$E$6-T6</f>
        <v>1207829.6899999976</v>
      </c>
      <c r="V6" s="367">
        <v>46259409</v>
      </c>
      <c r="W6" s="368">
        <v>45358071</v>
      </c>
      <c r="X6" s="368">
        <f>$E$6-W6</f>
        <v>901338</v>
      </c>
      <c r="Y6" s="368">
        <v>45380480</v>
      </c>
      <c r="Z6" s="368">
        <f>$E$6-Y6</f>
        <v>878929</v>
      </c>
    </row>
    <row r="7" spans="1:26" x14ac:dyDescent="0.25">
      <c r="A7" s="216">
        <v>6</v>
      </c>
      <c r="B7" s="5" t="s">
        <v>328</v>
      </c>
      <c r="C7" s="6" t="s">
        <v>4</v>
      </c>
      <c r="D7" s="3">
        <v>1</v>
      </c>
      <c r="E7" s="367">
        <v>69497761.733333334</v>
      </c>
      <c r="F7" s="368">
        <v>68490060</v>
      </c>
      <c r="G7" s="368">
        <f>$E$7-F7</f>
        <v>1007701.7333333343</v>
      </c>
      <c r="H7" s="368">
        <v>69003250</v>
      </c>
      <c r="I7" s="368">
        <f>$E$7-H7</f>
        <v>494511.73333333433</v>
      </c>
      <c r="J7" s="368">
        <v>68788889.149999991</v>
      </c>
      <c r="K7" s="368">
        <f>$E$7-J7</f>
        <v>708872.58333334327</v>
      </c>
      <c r="L7" s="368">
        <v>67760290</v>
      </c>
      <c r="M7" s="368">
        <f>$E$7-L7</f>
        <v>1737471.7333333343</v>
      </c>
      <c r="N7" s="368">
        <v>67888888.809699997</v>
      </c>
      <c r="O7" s="368">
        <f>$E$7-N7</f>
        <v>1608872.923633337</v>
      </c>
      <c r="P7" s="369"/>
      <c r="Q7" s="369">
        <f>$E$7-P7</f>
        <v>69497761.733333334</v>
      </c>
      <c r="R7" s="368">
        <v>67767224.949999988</v>
      </c>
      <c r="S7" s="368">
        <f>$E$7-R7</f>
        <v>1730536.7833333462</v>
      </c>
      <c r="T7" s="368">
        <v>67683172.75</v>
      </c>
      <c r="U7" s="368">
        <f>$E$7-T7</f>
        <v>1814588.9833333343</v>
      </c>
      <c r="V7" s="367">
        <v>69497761.733333334</v>
      </c>
      <c r="W7" s="368">
        <v>68143640</v>
      </c>
      <c r="X7" s="368">
        <f>$E$7-W7</f>
        <v>1354121.7333333343</v>
      </c>
      <c r="Y7" s="368">
        <v>68177305</v>
      </c>
      <c r="Z7" s="368">
        <f>$E$7-Y7</f>
        <v>1320456.7333333343</v>
      </c>
    </row>
    <row r="8" spans="1:26" ht="27" x14ac:dyDescent="0.25">
      <c r="A8" s="216">
        <v>7</v>
      </c>
      <c r="B8" s="5" t="s">
        <v>333</v>
      </c>
      <c r="C8" s="6" t="s">
        <v>4</v>
      </c>
      <c r="D8" s="3">
        <v>1</v>
      </c>
      <c r="E8" s="367">
        <v>2370133.3333333335</v>
      </c>
      <c r="F8" s="368">
        <v>2320000</v>
      </c>
      <c r="G8" s="368">
        <f>$E$8-F8</f>
        <v>50133.333333333489</v>
      </c>
      <c r="H8" s="368">
        <v>1800000</v>
      </c>
      <c r="I8" s="368">
        <f>$E$8-H8</f>
        <v>570133.33333333349</v>
      </c>
      <c r="J8" s="368">
        <v>2346000</v>
      </c>
      <c r="K8" s="368">
        <f>$E$8-J8</f>
        <v>24133.333333333489</v>
      </c>
      <c r="L8" s="368">
        <v>2310800</v>
      </c>
      <c r="M8" s="368">
        <f>$E$8-L8</f>
        <v>59333.333333333489</v>
      </c>
      <c r="N8" s="368">
        <v>2315264.42105</v>
      </c>
      <c r="O8" s="368">
        <f>$E$8-N8</f>
        <v>54868.912283333484</v>
      </c>
      <c r="P8" s="369"/>
      <c r="Q8" s="369">
        <f>$E$8-P8</f>
        <v>2370133.3333333335</v>
      </c>
      <c r="R8" s="368">
        <v>2310800</v>
      </c>
      <c r="S8" s="368">
        <f>$E$8-R8</f>
        <v>59333.333333333489</v>
      </c>
      <c r="T8" s="368">
        <v>2308400</v>
      </c>
      <c r="U8" s="368">
        <f>$E$8-T8</f>
        <v>61733.333333333489</v>
      </c>
      <c r="V8" s="367">
        <v>2370133.3333333335</v>
      </c>
      <c r="W8" s="368">
        <v>2323952</v>
      </c>
      <c r="X8" s="368">
        <f>$E$8-W8</f>
        <v>46181.333333333489</v>
      </c>
      <c r="Y8" s="368">
        <v>2325100</v>
      </c>
      <c r="Z8" s="368">
        <f>$E$8-Y8</f>
        <v>45033.333333333489</v>
      </c>
    </row>
    <row r="9" spans="1:26" s="16" customFormat="1" x14ac:dyDescent="0.25">
      <c r="A9" s="439" t="s">
        <v>128</v>
      </c>
      <c r="B9" s="439"/>
      <c r="C9" s="439"/>
      <c r="D9" s="439"/>
      <c r="E9" s="370">
        <f>SUM(E2:E8)</f>
        <v>177066640.95000002</v>
      </c>
      <c r="F9" s="371">
        <f>SUM(F2:F8)</f>
        <v>169844864.40000001</v>
      </c>
      <c r="G9" s="371">
        <f>$E$9-F9</f>
        <v>7221776.5500000119</v>
      </c>
      <c r="H9" s="371">
        <f>SUM(H2:H8)</f>
        <v>173977396.88999999</v>
      </c>
      <c r="I9" s="371">
        <f>$E$9-H9</f>
        <v>3089244.0600000322</v>
      </c>
      <c r="J9" s="371">
        <f>SUM(J2:J8)</f>
        <v>175260538.74000001</v>
      </c>
      <c r="K9" s="371">
        <f>$E$9-J9</f>
        <v>1806102.2100000083</v>
      </c>
      <c r="L9" s="371">
        <f>SUM(L2:L8)</f>
        <v>172639992</v>
      </c>
      <c r="M9" s="371">
        <f>$E$9-L9</f>
        <v>4426648.9500000179</v>
      </c>
      <c r="N9" s="371">
        <f>SUM(N2:N8)</f>
        <v>172967548.26085001</v>
      </c>
      <c r="O9" s="371">
        <f>$E$9-N9</f>
        <v>4099092.6891500056</v>
      </c>
      <c r="P9" s="369">
        <f>SUM(P2:P8)</f>
        <v>0</v>
      </c>
      <c r="Q9" s="369">
        <f>$E$9-P9</f>
        <v>177066640.95000002</v>
      </c>
      <c r="R9" s="371">
        <f>SUM(R2:R8)</f>
        <v>172656526.56999999</v>
      </c>
      <c r="S9" s="371">
        <f>$E$9-R9</f>
        <v>4410114.380000025</v>
      </c>
      <c r="T9" s="371">
        <f>SUM(T2:T8)</f>
        <v>172443494.69999999</v>
      </c>
      <c r="U9" s="371">
        <f>$E$9-T9</f>
        <v>4623146.2500000298</v>
      </c>
      <c r="V9" s="370">
        <f>SUM(V2:V8)</f>
        <v>177066640.95000002</v>
      </c>
      <c r="W9" s="371">
        <f>SUM(W2:W8)</f>
        <v>173616602</v>
      </c>
      <c r="X9" s="371">
        <f>$E$9-W9</f>
        <v>3450038.9500000179</v>
      </c>
      <c r="Y9" s="371">
        <f>SUM(Y2:Y8)</f>
        <v>173702375</v>
      </c>
      <c r="Z9" s="371">
        <f>$E$9-Y9</f>
        <v>3364265.9500000179</v>
      </c>
    </row>
    <row r="10" spans="1:26" x14ac:dyDescent="0.25">
      <c r="A10" s="440" t="s">
        <v>136</v>
      </c>
      <c r="B10" s="440"/>
      <c r="C10" s="440"/>
      <c r="D10" s="7">
        <v>0.2</v>
      </c>
      <c r="E10" s="367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9"/>
      <c r="Q10" s="369"/>
      <c r="R10" s="368"/>
      <c r="S10" s="368"/>
      <c r="T10" s="368"/>
      <c r="U10" s="368"/>
      <c r="V10" s="367"/>
      <c r="W10" s="368"/>
      <c r="X10" s="368"/>
      <c r="Y10" s="368"/>
      <c r="Z10" s="368"/>
    </row>
    <row r="11" spans="1:26" x14ac:dyDescent="0.25">
      <c r="A11" s="8"/>
      <c r="B11" s="8" t="s">
        <v>134</v>
      </c>
      <c r="C11" s="8"/>
      <c r="D11" s="9">
        <v>0.13</v>
      </c>
      <c r="E11" s="367">
        <v>23018663.323500004</v>
      </c>
      <c r="F11" s="368">
        <f>(F9*D11)</f>
        <v>22079832.372000001</v>
      </c>
      <c r="G11" s="368">
        <f>$E$11-F11</f>
        <v>938830.95150000229</v>
      </c>
      <c r="H11" s="368">
        <f>H9*$D$11</f>
        <v>22617061.595699999</v>
      </c>
      <c r="I11" s="368">
        <f>$E$11-H11</f>
        <v>401601.72780000418</v>
      </c>
      <c r="J11" s="368">
        <f>J9*D11</f>
        <v>22783870.036200002</v>
      </c>
      <c r="K11" s="368">
        <f>$E$11-J11</f>
        <v>234793.28730000183</v>
      </c>
      <c r="L11" s="368">
        <f>L9*D11</f>
        <v>22443198.960000001</v>
      </c>
      <c r="M11" s="368">
        <f>$E$11-L11</f>
        <v>575464.36350000277</v>
      </c>
      <c r="N11" s="368">
        <f>N9*D11</f>
        <v>22485781.273910504</v>
      </c>
      <c r="O11" s="368">
        <f>$E$11-N11</f>
        <v>532882.04958949983</v>
      </c>
      <c r="P11" s="369">
        <f>P9*D11</f>
        <v>0</v>
      </c>
      <c r="Q11" s="369">
        <f>$E$11-P11</f>
        <v>23018663.323500004</v>
      </c>
      <c r="R11" s="368">
        <f>R9*D11</f>
        <v>22445348.454100002</v>
      </c>
      <c r="S11" s="368">
        <f>$E$11-R11</f>
        <v>573314.86940000206</v>
      </c>
      <c r="T11" s="368">
        <f>T9*D11</f>
        <v>22417654.311000001</v>
      </c>
      <c r="U11" s="368">
        <f>$E$11-T11</f>
        <v>601009.01250000298</v>
      </c>
      <c r="V11" s="367">
        <v>23018663.323500004</v>
      </c>
      <c r="W11" s="368">
        <f>W9*D11</f>
        <v>22570158.260000002</v>
      </c>
      <c r="X11" s="368">
        <f>$E$11-W11</f>
        <v>448505.06350000203</v>
      </c>
      <c r="Y11" s="368">
        <f>Y9*D11</f>
        <v>22581308.75</v>
      </c>
      <c r="Z11" s="368">
        <f>$E$11-Y11</f>
        <v>437354.57350000367</v>
      </c>
    </row>
    <row r="12" spans="1:26" x14ac:dyDescent="0.25">
      <c r="A12" s="8"/>
      <c r="B12" s="8" t="s">
        <v>132</v>
      </c>
      <c r="C12" s="8"/>
      <c r="D12" s="7">
        <v>0.02</v>
      </c>
      <c r="E12" s="367">
        <v>3541332.8190000006</v>
      </c>
      <c r="F12" s="368">
        <f>F9*D12</f>
        <v>3396897.2880000002</v>
      </c>
      <c r="G12" s="368">
        <f>$E$12-F12</f>
        <v>144435.53100000042</v>
      </c>
      <c r="H12" s="368">
        <f>H9*$D$12</f>
        <v>3479547.9378</v>
      </c>
      <c r="I12" s="368">
        <f>$E$12-H12</f>
        <v>61784.881200000644</v>
      </c>
      <c r="J12" s="368">
        <f>J9*D12</f>
        <v>3505210.7748000002</v>
      </c>
      <c r="K12" s="368">
        <f>$E$12-J12</f>
        <v>36122.044200000353</v>
      </c>
      <c r="L12" s="368">
        <f>L9*D12</f>
        <v>3452799.84</v>
      </c>
      <c r="M12" s="368">
        <f>$E$12-L12</f>
        <v>88532.979000000749</v>
      </c>
      <c r="N12" s="368">
        <f>N9*D12</f>
        <v>3459350.9652170003</v>
      </c>
      <c r="O12" s="368">
        <f>$E$12-N12</f>
        <v>81981.853783000261</v>
      </c>
      <c r="P12" s="369">
        <f>P9*D12</f>
        <v>0</v>
      </c>
      <c r="Q12" s="369">
        <f>$E$12-P12</f>
        <v>3541332.8190000006</v>
      </c>
      <c r="R12" s="368">
        <f>R9*D12</f>
        <v>3453130.5313999997</v>
      </c>
      <c r="S12" s="368">
        <f>$E$12-R12</f>
        <v>88202.287600000855</v>
      </c>
      <c r="T12" s="368">
        <f>T9*D12</f>
        <v>3448869.8939999999</v>
      </c>
      <c r="U12" s="368">
        <f>$E$12-T12</f>
        <v>92462.925000000745</v>
      </c>
      <c r="V12" s="367">
        <v>3541332.8190000006</v>
      </c>
      <c r="W12" s="368">
        <f>W9*D12</f>
        <v>3472332.04</v>
      </c>
      <c r="X12" s="368">
        <f>$E$12-W12</f>
        <v>69000.779000000563</v>
      </c>
      <c r="Y12" s="368">
        <f>Y9*D12</f>
        <v>3474047.5</v>
      </c>
      <c r="Z12" s="368">
        <f>$E$12-Y12</f>
        <v>67285.3190000006</v>
      </c>
    </row>
    <row r="13" spans="1:26" x14ac:dyDescent="0.25">
      <c r="A13" s="8"/>
      <c r="B13" s="8" t="s">
        <v>133</v>
      </c>
      <c r="C13" s="8"/>
      <c r="D13" s="7">
        <v>0.05</v>
      </c>
      <c r="E13" s="367">
        <v>8853332.0475000013</v>
      </c>
      <c r="F13" s="368">
        <f>F9*D13</f>
        <v>8492243.2200000007</v>
      </c>
      <c r="G13" s="368">
        <f>$E$13-F13</f>
        <v>361088.8275000006</v>
      </c>
      <c r="H13" s="368">
        <f>H9*$D$13</f>
        <v>8698869.8444999997</v>
      </c>
      <c r="I13" s="368">
        <f>$E$13-H13</f>
        <v>154462.20300000161</v>
      </c>
      <c r="J13" s="368">
        <f>J9*D13</f>
        <v>8763026.9370000008</v>
      </c>
      <c r="K13" s="368">
        <f>$E$13-J13</f>
        <v>90305.110500000417</v>
      </c>
      <c r="L13" s="368">
        <f>L9*D13</f>
        <v>8631999.5999999996</v>
      </c>
      <c r="M13" s="368">
        <f>$E$13-L13</f>
        <v>221332.44750000164</v>
      </c>
      <c r="N13" s="368">
        <f>N9*D13</f>
        <v>8648377.4130425006</v>
      </c>
      <c r="O13" s="368">
        <f>$E$13-N13</f>
        <v>204954.63445750065</v>
      </c>
      <c r="P13" s="369">
        <f>P9*D13</f>
        <v>0</v>
      </c>
      <c r="Q13" s="369">
        <f>$E$13-P13</f>
        <v>8853332.0475000013</v>
      </c>
      <c r="R13" s="368">
        <f>R9*D13</f>
        <v>8632826.3285000008</v>
      </c>
      <c r="S13" s="368">
        <f>$E$13-R13</f>
        <v>220505.71900000051</v>
      </c>
      <c r="T13" s="368">
        <f>T9*D13</f>
        <v>8622174.7349999994</v>
      </c>
      <c r="U13" s="368">
        <f>$E$13-T13</f>
        <v>231157.31250000186</v>
      </c>
      <c r="V13" s="367">
        <v>8853332.0475000013</v>
      </c>
      <c r="W13" s="368">
        <f>W9*D13</f>
        <v>8680830.0999999996</v>
      </c>
      <c r="X13" s="368">
        <f>$E$13-W13</f>
        <v>172501.94750000164</v>
      </c>
      <c r="Y13" s="368">
        <f>Y9*D13</f>
        <v>8685118.75</v>
      </c>
      <c r="Z13" s="368">
        <f>$E$13-Y13</f>
        <v>168213.29750000127</v>
      </c>
    </row>
    <row r="14" spans="1:26" x14ac:dyDescent="0.25">
      <c r="A14" s="8"/>
      <c r="B14" s="8" t="s">
        <v>135</v>
      </c>
      <c r="C14" s="8"/>
      <c r="D14" s="7">
        <v>0.19</v>
      </c>
      <c r="E14" s="367">
        <v>1682133.0890250003</v>
      </c>
      <c r="F14" s="368">
        <f>F13*D14</f>
        <v>1613526.2118000002</v>
      </c>
      <c r="G14" s="368">
        <f>$E$14-F14</f>
        <v>68606.877225000178</v>
      </c>
      <c r="H14" s="368">
        <f>H13*$D$14</f>
        <v>1652785.270455</v>
      </c>
      <c r="I14" s="368">
        <f>$E$14-H14</f>
        <v>29347.818570000352</v>
      </c>
      <c r="J14" s="368">
        <f>J13*D14</f>
        <v>1664975.1180300002</v>
      </c>
      <c r="K14" s="368">
        <f>$E$14-J14</f>
        <v>17157.970995000098</v>
      </c>
      <c r="L14" s="368">
        <f>L13*D14</f>
        <v>1640079.9239999999</v>
      </c>
      <c r="M14" s="368">
        <f>$E$14-L14</f>
        <v>42053.16502500046</v>
      </c>
      <c r="N14" s="368">
        <f>N13*D14</f>
        <v>1643191.7084780752</v>
      </c>
      <c r="O14" s="368">
        <f>$E$14-N14</f>
        <v>38941.380546925124</v>
      </c>
      <c r="P14" s="369">
        <f>P13*D14</f>
        <v>0</v>
      </c>
      <c r="Q14" s="369">
        <f>$E$14-P14</f>
        <v>1682133.0890250003</v>
      </c>
      <c r="R14" s="368">
        <f>R13*D14</f>
        <v>1640237.0024150002</v>
      </c>
      <c r="S14" s="368">
        <f>$E$14-R14</f>
        <v>41896.086610000115</v>
      </c>
      <c r="T14" s="368">
        <f>T13*D14</f>
        <v>1638213.1996499998</v>
      </c>
      <c r="U14" s="368">
        <f>$E$14-T14</f>
        <v>43919.889375000494</v>
      </c>
      <c r="V14" s="367">
        <v>1682133.0890250003</v>
      </c>
      <c r="W14" s="368">
        <f>W13*D14</f>
        <v>1649357.719</v>
      </c>
      <c r="X14" s="368">
        <f>$E$14-W14</f>
        <v>32775.370025000302</v>
      </c>
      <c r="Y14" s="368">
        <f>Y13*D14</f>
        <v>1650172.5625</v>
      </c>
      <c r="Z14" s="368">
        <f>$E$14-Y14</f>
        <v>31960.526525000343</v>
      </c>
    </row>
    <row r="15" spans="1:26" s="16" customFormat="1" x14ac:dyDescent="0.25">
      <c r="A15" s="13"/>
      <c r="B15" s="439" t="s">
        <v>129</v>
      </c>
      <c r="C15" s="439"/>
      <c r="D15" s="439"/>
      <c r="E15" s="370">
        <f>SUM(E11:E14)</f>
        <v>37095461.279025003</v>
      </c>
      <c r="F15" s="371">
        <f>SUM(F11:F14)</f>
        <v>35582499.091800004</v>
      </c>
      <c r="G15" s="371">
        <f>$E$15-F15</f>
        <v>1512962.1872249991</v>
      </c>
      <c r="H15" s="371">
        <f>SUM(H11:H14)</f>
        <v>36448264.648455001</v>
      </c>
      <c r="I15" s="371">
        <f>$E$15-H15</f>
        <v>647196.6305700019</v>
      </c>
      <c r="J15" s="371">
        <f>SUM(J11:J14)</f>
        <v>36717082.86603</v>
      </c>
      <c r="K15" s="371">
        <f>$E$15-J15</f>
        <v>378378.41299500316</v>
      </c>
      <c r="L15" s="371">
        <f>SUM(L11:L14)</f>
        <v>36168078.324000001</v>
      </c>
      <c r="M15" s="371">
        <f>$E$15-L15</f>
        <v>927382.95502500236</v>
      </c>
      <c r="N15" s="371">
        <f>SUM(N11:N14)</f>
        <v>36236701.360648081</v>
      </c>
      <c r="O15" s="371">
        <f>$E$15-N15</f>
        <v>858759.91837692261</v>
      </c>
      <c r="P15" s="369">
        <f>SUM(P11:P14)</f>
        <v>0</v>
      </c>
      <c r="Q15" s="369">
        <f>$E$15-P15</f>
        <v>37095461.279025003</v>
      </c>
      <c r="R15" s="371">
        <f>SUM(R11:R14)</f>
        <v>36171542.316415004</v>
      </c>
      <c r="S15" s="371">
        <f>$E$15-R15</f>
        <v>923918.96260999888</v>
      </c>
      <c r="T15" s="371">
        <f>SUM(T11:T14)</f>
        <v>36126912.139649995</v>
      </c>
      <c r="U15" s="371">
        <f>$E$15-T15</f>
        <v>968549.13937500864</v>
      </c>
      <c r="V15" s="370">
        <f>SUM(V11:V14)</f>
        <v>37095461.279025003</v>
      </c>
      <c r="W15" s="371">
        <f>SUM(W11:W14)</f>
        <v>36372678.118999995</v>
      </c>
      <c r="X15" s="371">
        <f>$E$15-W15</f>
        <v>722783.16002500802</v>
      </c>
      <c r="Y15" s="371">
        <f>SUM(Y11:Y14)</f>
        <v>36390647.5625</v>
      </c>
      <c r="Z15" s="371">
        <f>$E$15-Y15</f>
        <v>704813.71652500331</v>
      </c>
    </row>
    <row r="16" spans="1:26" s="17" customFormat="1" ht="16.5" x14ac:dyDescent="0.25">
      <c r="A16" s="441" t="s">
        <v>130</v>
      </c>
      <c r="B16" s="441"/>
      <c r="C16" s="441"/>
      <c r="D16" s="441"/>
      <c r="E16" s="372">
        <f>E9+E15</f>
        <v>214162102.22902501</v>
      </c>
      <c r="F16" s="373">
        <f>F9+F15</f>
        <v>205427363.49180001</v>
      </c>
      <c r="G16" s="373">
        <f>$E$16-F16</f>
        <v>8734738.7372249961</v>
      </c>
      <c r="H16" s="373">
        <f>H9+H15</f>
        <v>210425661.53845498</v>
      </c>
      <c r="I16" s="373">
        <f>$E$16-H16</f>
        <v>3736440.6905700266</v>
      </c>
      <c r="J16" s="373">
        <f>J9+J15</f>
        <v>211977621.60603002</v>
      </c>
      <c r="K16" s="373">
        <f>$E$16-J16</f>
        <v>2184480.6229949892</v>
      </c>
      <c r="L16" s="373">
        <f>L9+L15</f>
        <v>208808070.324</v>
      </c>
      <c r="M16" s="373">
        <f>$E$16-L16</f>
        <v>5354031.9050250053</v>
      </c>
      <c r="N16" s="373">
        <f>N9+N15</f>
        <v>209204249.62149811</v>
      </c>
      <c r="O16" s="373">
        <f>$E$16-N16</f>
        <v>4957852.6075268984</v>
      </c>
      <c r="P16" s="369">
        <f>P9+P15</f>
        <v>0</v>
      </c>
      <c r="Q16" s="369">
        <f>$E$16-P16</f>
        <v>214162102.22902501</v>
      </c>
      <c r="R16" s="373">
        <f>R9+R15</f>
        <v>208828068.886415</v>
      </c>
      <c r="S16" s="373">
        <f>$E$16-R16</f>
        <v>5334033.3426100016</v>
      </c>
      <c r="T16" s="373">
        <f>T9+T15</f>
        <v>208570406.83964998</v>
      </c>
      <c r="U16" s="373">
        <f>$E$16-T16</f>
        <v>5591695.389375031</v>
      </c>
      <c r="V16" s="372">
        <f>V9+V15</f>
        <v>214162102.22902501</v>
      </c>
      <c r="W16" s="373">
        <f>W9+W15</f>
        <v>209989280.11899999</v>
      </c>
      <c r="X16" s="373">
        <f>$E$16-W16</f>
        <v>4172822.1100250185</v>
      </c>
      <c r="Y16" s="373">
        <f>Y9+Y15</f>
        <v>210093022.5625</v>
      </c>
      <c r="Z16" s="373">
        <f>$E$16-Y16</f>
        <v>4069079.6665250063</v>
      </c>
    </row>
    <row r="19" spans="1:26" x14ac:dyDescent="0.25">
      <c r="A19" s="11" t="s">
        <v>127</v>
      </c>
      <c r="B19" s="12" t="s">
        <v>7</v>
      </c>
      <c r="C19" s="12" t="s">
        <v>4</v>
      </c>
      <c r="D19" s="12" t="s">
        <v>138</v>
      </c>
      <c r="E19" s="364" t="s">
        <v>137</v>
      </c>
      <c r="F19" s="365" t="e">
        <f>F1</f>
        <v>#REF!</v>
      </c>
      <c r="G19" s="365" t="s">
        <v>271</v>
      </c>
      <c r="H19" s="365" t="e">
        <f>H1</f>
        <v>#REF!</v>
      </c>
      <c r="I19" s="365" t="s">
        <v>271</v>
      </c>
      <c r="J19" s="365" t="e">
        <f>J1</f>
        <v>#REF!</v>
      </c>
      <c r="K19" s="365" t="s">
        <v>271</v>
      </c>
      <c r="L19" s="365" t="e">
        <f>L1</f>
        <v>#REF!</v>
      </c>
      <c r="M19" s="365" t="s">
        <v>271</v>
      </c>
      <c r="N19" s="365" t="e">
        <f>N1</f>
        <v>#REF!</v>
      </c>
      <c r="O19" s="365" t="s">
        <v>271</v>
      </c>
      <c r="P19" s="366" t="e">
        <f>P1</f>
        <v>#REF!</v>
      </c>
      <c r="Q19" s="366" t="s">
        <v>271</v>
      </c>
      <c r="R19" s="365" t="e">
        <f>R1</f>
        <v>#REF!</v>
      </c>
      <c r="S19" s="365" t="s">
        <v>271</v>
      </c>
      <c r="T19" s="365" t="e">
        <f>T1</f>
        <v>#REF!</v>
      </c>
      <c r="U19" s="365" t="s">
        <v>271</v>
      </c>
      <c r="V19" s="364" t="s">
        <v>137</v>
      </c>
      <c r="W19" s="365" t="e">
        <f>W1</f>
        <v>#REF!</v>
      </c>
      <c r="X19" s="365" t="s">
        <v>271</v>
      </c>
      <c r="Y19" s="365" t="e">
        <f>Y1</f>
        <v>#REF!</v>
      </c>
      <c r="Z19" s="365" t="s">
        <v>271</v>
      </c>
    </row>
    <row r="20" spans="1:26" x14ac:dyDescent="0.25">
      <c r="A20" s="216">
        <v>1</v>
      </c>
      <c r="B20" s="5" t="s">
        <v>163</v>
      </c>
      <c r="C20" s="6" t="s">
        <v>4</v>
      </c>
      <c r="D20" s="3">
        <v>1</v>
      </c>
      <c r="E20" s="367">
        <v>1735185.7000000002</v>
      </c>
      <c r="F20" s="368">
        <v>1722707</v>
      </c>
      <c r="G20" s="368">
        <f>$E$20-F20</f>
        <v>12478.700000000186</v>
      </c>
      <c r="H20" s="368">
        <v>1685821</v>
      </c>
      <c r="I20" s="368">
        <f>$E$20-H20</f>
        <v>49364.700000000186</v>
      </c>
      <c r="J20" s="368">
        <v>1712892</v>
      </c>
      <c r="K20" s="368">
        <f>$E$20-J20</f>
        <v>22293.700000000186</v>
      </c>
      <c r="L20" s="368">
        <v>1691988</v>
      </c>
      <c r="M20" s="368">
        <f>$E$20-L20</f>
        <v>43197.700000000186</v>
      </c>
      <c r="N20" s="368">
        <v>1695019.3746499992</v>
      </c>
      <c r="O20" s="368">
        <f>$E$20-N20</f>
        <v>40166.325350000989</v>
      </c>
      <c r="P20" s="369"/>
      <c r="Q20" s="369">
        <f>$E$20-P20</f>
        <v>1735185.7000000002</v>
      </c>
      <c r="R20" s="368">
        <v>1691945</v>
      </c>
      <c r="S20" s="368">
        <f>$E$20-R20</f>
        <v>43240.700000000186</v>
      </c>
      <c r="T20" s="368">
        <v>1689882</v>
      </c>
      <c r="U20" s="368">
        <f>$E$20-T20</f>
        <v>45303.700000000186</v>
      </c>
      <c r="V20" s="367">
        <v>1735185.7000000002</v>
      </c>
      <c r="W20" s="368">
        <v>1701379</v>
      </c>
      <c r="X20" s="368">
        <f>$E$20-W20</f>
        <v>33806.700000000186</v>
      </c>
      <c r="Y20" s="368">
        <v>1702220</v>
      </c>
      <c r="Z20" s="368">
        <f>$E$20-Y20</f>
        <v>32965.700000000186</v>
      </c>
    </row>
    <row r="21" spans="1:26" x14ac:dyDescent="0.25">
      <c r="A21" s="216">
        <v>2</v>
      </c>
      <c r="B21" s="5" t="s">
        <v>164</v>
      </c>
      <c r="C21" s="6" t="s">
        <v>4</v>
      </c>
      <c r="D21" s="3">
        <v>1</v>
      </c>
      <c r="E21" s="367">
        <v>2304172.5</v>
      </c>
      <c r="F21" s="368">
        <v>2233740</v>
      </c>
      <c r="G21" s="368">
        <f>$E$21-F21</f>
        <v>70432.5</v>
      </c>
      <c r="H21" s="368">
        <v>2281132</v>
      </c>
      <c r="I21" s="368">
        <f>$E$21-H21</f>
        <v>23040.5</v>
      </c>
      <c r="J21" s="368">
        <v>2245337</v>
      </c>
      <c r="K21" s="368">
        <f>$E$21-J21</f>
        <v>58835.5</v>
      </c>
      <c r="L21" s="368">
        <v>2246800</v>
      </c>
      <c r="M21" s="368">
        <f>$E$21-L21</f>
        <v>57372.5</v>
      </c>
      <c r="N21" s="368">
        <v>2250831.3950499999</v>
      </c>
      <c r="O21" s="368">
        <f>$E$21-N21</f>
        <v>53341.104950000066</v>
      </c>
      <c r="P21" s="369"/>
      <c r="Q21" s="369">
        <f>$E$21-P21</f>
        <v>2304172.5</v>
      </c>
      <c r="R21" s="368">
        <v>2246795</v>
      </c>
      <c r="S21" s="368">
        <f>$E$21-R21</f>
        <v>57377.5</v>
      </c>
      <c r="T21" s="368">
        <v>2244011</v>
      </c>
      <c r="U21" s="368">
        <f>$E$21-T21</f>
        <v>60161.5</v>
      </c>
      <c r="V21" s="367">
        <v>2304172.5</v>
      </c>
      <c r="W21" s="368">
        <v>2259278</v>
      </c>
      <c r="X21" s="368">
        <f>$E$21-W21</f>
        <v>44894.5</v>
      </c>
      <c r="Y21" s="368">
        <v>2260394</v>
      </c>
      <c r="Z21" s="368">
        <f>$E$21-Y21</f>
        <v>43778.5</v>
      </c>
    </row>
    <row r="22" spans="1:26" x14ac:dyDescent="0.25">
      <c r="A22" s="216">
        <v>3</v>
      </c>
      <c r="B22" s="5" t="s">
        <v>167</v>
      </c>
      <c r="C22" s="6" t="s">
        <v>4</v>
      </c>
      <c r="D22" s="3">
        <v>1</v>
      </c>
      <c r="E22" s="367">
        <v>154385.60000000001</v>
      </c>
      <c r="F22" s="368">
        <v>154000</v>
      </c>
      <c r="G22" s="368">
        <f>$E$22-F22</f>
        <v>385.60000000000582</v>
      </c>
      <c r="H22" s="368">
        <v>154385</v>
      </c>
      <c r="I22" s="368">
        <f>$E$22-H22</f>
        <v>0.60000000000582077</v>
      </c>
      <c r="J22" s="368">
        <v>152402</v>
      </c>
      <c r="K22" s="368">
        <f>$E$22-J22</f>
        <v>1983.6000000000058</v>
      </c>
      <c r="L22" s="368">
        <v>150541</v>
      </c>
      <c r="M22" s="368">
        <f>$E$22-L22</f>
        <v>3844.6000000000058</v>
      </c>
      <c r="N22" s="368">
        <v>150810.98725000001</v>
      </c>
      <c r="O22" s="368">
        <f>$E$22-N22</f>
        <v>3574.6127500000002</v>
      </c>
      <c r="P22" s="369"/>
      <c r="Q22" s="369">
        <f>$E$22-P22</f>
        <v>154385.60000000001</v>
      </c>
      <c r="R22" s="368">
        <v>150539</v>
      </c>
      <c r="S22" s="368">
        <f>$E$22-R22</f>
        <v>3846.6000000000058</v>
      </c>
      <c r="T22" s="368">
        <v>150355</v>
      </c>
      <c r="U22" s="368">
        <f>$E$22-T22</f>
        <v>4030.6000000000058</v>
      </c>
      <c r="V22" s="367">
        <v>154385.60000000001</v>
      </c>
      <c r="W22" s="368">
        <v>151377</v>
      </c>
      <c r="X22" s="368">
        <f>$E$22-W22</f>
        <v>3008.6000000000058</v>
      </c>
      <c r="Y22" s="368">
        <v>151451</v>
      </c>
      <c r="Z22" s="368">
        <f>$E$22-Y22</f>
        <v>2934.6000000000058</v>
      </c>
    </row>
    <row r="23" spans="1:26" x14ac:dyDescent="0.25">
      <c r="A23" s="216">
        <v>4</v>
      </c>
      <c r="B23" s="5" t="s">
        <v>169</v>
      </c>
      <c r="C23" s="6" t="s">
        <v>4</v>
      </c>
      <c r="D23" s="3">
        <v>1</v>
      </c>
      <c r="E23" s="367">
        <v>170031.065</v>
      </c>
      <c r="F23" s="368">
        <v>148150</v>
      </c>
      <c r="G23" s="368">
        <f>$E$23-F23</f>
        <v>21881.065000000002</v>
      </c>
      <c r="H23" s="368">
        <v>170031</v>
      </c>
      <c r="I23" s="368">
        <f>$E$23-H23</f>
        <v>6.5000000002328306E-2</v>
      </c>
      <c r="J23" s="368">
        <v>167847</v>
      </c>
      <c r="K23" s="368">
        <f>$E$23-J23</f>
        <v>2184.0650000000023</v>
      </c>
      <c r="L23" s="368">
        <v>165797</v>
      </c>
      <c r="M23" s="368">
        <f>$E$23-L23</f>
        <v>4234.0650000000023</v>
      </c>
      <c r="N23" s="368">
        <v>166094.78234999999</v>
      </c>
      <c r="O23" s="368">
        <f>$E$23-N23</f>
        <v>3936.2826500000083</v>
      </c>
      <c r="P23" s="369"/>
      <c r="Q23" s="369">
        <f>$E$23-P23</f>
        <v>170031.065</v>
      </c>
      <c r="R23" s="368">
        <v>165794</v>
      </c>
      <c r="S23" s="368">
        <f>$E$23-R23</f>
        <v>4237.0650000000023</v>
      </c>
      <c r="T23" s="368">
        <v>165591</v>
      </c>
      <c r="U23" s="368">
        <f>$E$23-T23</f>
        <v>4440.0650000000023</v>
      </c>
      <c r="V23" s="367">
        <v>170031.065</v>
      </c>
      <c r="W23" s="368">
        <v>166719</v>
      </c>
      <c r="X23" s="368">
        <f>$E$23-W23</f>
        <v>3312.0650000000023</v>
      </c>
      <c r="Y23" s="368">
        <v>166800</v>
      </c>
      <c r="Z23" s="368">
        <f>$E$23-Y23</f>
        <v>3231.0650000000023</v>
      </c>
    </row>
    <row r="24" spans="1:26" x14ac:dyDescent="0.25">
      <c r="A24" s="216">
        <v>5</v>
      </c>
      <c r="B24" s="5" t="s">
        <v>185</v>
      </c>
      <c r="C24" s="6" t="s">
        <v>4</v>
      </c>
      <c r="D24" s="3">
        <v>1</v>
      </c>
      <c r="E24" s="367">
        <v>2993035.75</v>
      </c>
      <c r="F24" s="368">
        <v>2943940</v>
      </c>
      <c r="G24" s="368">
        <f>$E$24-F24</f>
        <v>49095.75</v>
      </c>
      <c r="H24" s="368">
        <v>2993038</v>
      </c>
      <c r="I24" s="368">
        <f>$E$24-H24</f>
        <v>-2.25</v>
      </c>
      <c r="J24" s="368">
        <v>2954579</v>
      </c>
      <c r="K24" s="368">
        <f>$E$24-J24</f>
        <v>38456.75</v>
      </c>
      <c r="L24" s="368">
        <v>2918510</v>
      </c>
      <c r="M24" s="368">
        <f>$E$24-L24</f>
        <v>74525.75</v>
      </c>
      <c r="N24" s="368">
        <v>2923749.1702999994</v>
      </c>
      <c r="O24" s="368">
        <f>$E$24-N24</f>
        <v>69286.579700000584</v>
      </c>
      <c r="P24" s="369"/>
      <c r="Q24" s="369">
        <f>$E$24-P24</f>
        <v>2993035.75</v>
      </c>
      <c r="R24" s="368">
        <v>2918494</v>
      </c>
      <c r="S24" s="368">
        <f>$E$24-R24</f>
        <v>74541.75</v>
      </c>
      <c r="T24" s="368">
        <v>2914887</v>
      </c>
      <c r="U24" s="368">
        <f>$E$24-T24</f>
        <v>78148.75</v>
      </c>
      <c r="V24" s="367">
        <v>2993035.75</v>
      </c>
      <c r="W24" s="368">
        <v>2934720</v>
      </c>
      <c r="X24" s="368">
        <f>$E$24-W24</f>
        <v>58315.75</v>
      </c>
      <c r="Y24" s="368">
        <v>2936169</v>
      </c>
      <c r="Z24" s="368">
        <f>$E$24-Y24</f>
        <v>56866.75</v>
      </c>
    </row>
    <row r="25" spans="1:26" ht="27" x14ac:dyDescent="0.25">
      <c r="A25" s="216">
        <v>6</v>
      </c>
      <c r="B25" s="5" t="s">
        <v>201</v>
      </c>
      <c r="C25" s="6" t="s">
        <v>4</v>
      </c>
      <c r="D25" s="3">
        <v>1</v>
      </c>
      <c r="E25" s="367">
        <v>8807702.4499999993</v>
      </c>
      <c r="F25" s="368">
        <v>8742020</v>
      </c>
      <c r="G25" s="368">
        <f>$E$25-F25</f>
        <v>65682.449999999255</v>
      </c>
      <c r="H25" s="368">
        <v>8712018</v>
      </c>
      <c r="I25" s="368">
        <f>$E$25-H25</f>
        <v>95684.449999999255</v>
      </c>
      <c r="J25" s="368">
        <v>8694528</v>
      </c>
      <c r="K25" s="368">
        <f>$E$25-J25</f>
        <v>113174.44999999925</v>
      </c>
      <c r="L25" s="368">
        <v>8588393</v>
      </c>
      <c r="M25" s="368">
        <f>$E$25-L25</f>
        <v>219309.44999999925</v>
      </c>
      <c r="N25" s="368">
        <v>8603806.6292500012</v>
      </c>
      <c r="O25" s="368">
        <f>$E$25-N25</f>
        <v>203895.82074999809</v>
      </c>
      <c r="P25" s="369"/>
      <c r="Q25" s="369">
        <f>$E$25-P25</f>
        <v>8807702.4499999993</v>
      </c>
      <c r="R25" s="368">
        <v>8588380</v>
      </c>
      <c r="S25" s="368">
        <f>$E$25-R25</f>
        <v>219322.44999999925</v>
      </c>
      <c r="T25" s="368">
        <v>8577737</v>
      </c>
      <c r="U25" s="368">
        <f>$E$25-T25</f>
        <v>229965.44999999925</v>
      </c>
      <c r="V25" s="367">
        <v>8807702.4499999993</v>
      </c>
      <c r="W25" s="368">
        <v>8636094</v>
      </c>
      <c r="X25" s="368">
        <f>$E$25-W25</f>
        <v>171608.44999999925</v>
      </c>
      <c r="Y25" s="368">
        <v>8640357</v>
      </c>
      <c r="Z25" s="368">
        <f>$E$25-Y25</f>
        <v>167345.44999999925</v>
      </c>
    </row>
    <row r="26" spans="1:26" ht="27" x14ac:dyDescent="0.25">
      <c r="A26" s="216">
        <v>7</v>
      </c>
      <c r="B26" s="5" t="s">
        <v>367</v>
      </c>
      <c r="C26" s="6" t="s">
        <v>4</v>
      </c>
      <c r="D26" s="3">
        <v>1</v>
      </c>
      <c r="E26" s="367">
        <v>1620701.3000000003</v>
      </c>
      <c r="F26" s="368">
        <v>1611605</v>
      </c>
      <c r="G26" s="368">
        <f>$E$26-F26</f>
        <v>9096.3000000002794</v>
      </c>
      <c r="H26" s="368">
        <v>1604494</v>
      </c>
      <c r="I26" s="368">
        <f>$E$26-H26</f>
        <v>16207.300000000279</v>
      </c>
      <c r="J26" s="368">
        <v>1599876</v>
      </c>
      <c r="K26" s="368">
        <f>$E$26-J26</f>
        <v>20825.300000000279</v>
      </c>
      <c r="L26" s="368">
        <v>1580347</v>
      </c>
      <c r="M26" s="368">
        <f>$E$26-L26</f>
        <v>40354.300000000279</v>
      </c>
      <c r="N26" s="368">
        <v>1583181.7718500001</v>
      </c>
      <c r="O26" s="368">
        <f>$E$26-N26</f>
        <v>37519.528150000144</v>
      </c>
      <c r="P26" s="369"/>
      <c r="Q26" s="369">
        <f>$E$26-P26</f>
        <v>1620701.3000000003</v>
      </c>
      <c r="R26" s="368">
        <v>1580328</v>
      </c>
      <c r="S26" s="368">
        <f>$E$26-R26</f>
        <v>40373.300000000279</v>
      </c>
      <c r="T26" s="368">
        <v>1578383</v>
      </c>
      <c r="U26" s="368">
        <f>$E$26-T26</f>
        <v>42318.300000000279</v>
      </c>
      <c r="V26" s="367">
        <v>1620701.3000000003</v>
      </c>
      <c r="W26" s="368">
        <v>1589125</v>
      </c>
      <c r="X26" s="368">
        <f>$E$26-W26</f>
        <v>31576.300000000279</v>
      </c>
      <c r="Y26" s="368">
        <v>1589909</v>
      </c>
      <c r="Z26" s="368">
        <f>$E$26-Y26</f>
        <v>30792.300000000279</v>
      </c>
    </row>
    <row r="27" spans="1:26" x14ac:dyDescent="0.25">
      <c r="A27" s="216">
        <v>8</v>
      </c>
      <c r="B27" s="4" t="s">
        <v>216</v>
      </c>
      <c r="C27" s="6" t="s">
        <v>4</v>
      </c>
      <c r="D27" s="3">
        <v>1</v>
      </c>
      <c r="E27" s="367">
        <v>892909.04999999993</v>
      </c>
      <c r="F27" s="368">
        <v>885270</v>
      </c>
      <c r="G27" s="368">
        <f>$E$27-F27</f>
        <v>7639.0499999999302</v>
      </c>
      <c r="H27" s="368">
        <v>888444</v>
      </c>
      <c r="I27" s="368">
        <f>$E$27-H27</f>
        <v>4465.0499999999302</v>
      </c>
      <c r="J27" s="368">
        <v>881436</v>
      </c>
      <c r="K27" s="368">
        <f>$E$27-J27</f>
        <v>11473.04999999993</v>
      </c>
      <c r="L27" s="368">
        <v>870676</v>
      </c>
      <c r="M27" s="368">
        <f>$E$27-L27</f>
        <v>22233.04999999993</v>
      </c>
      <c r="N27" s="368">
        <v>872238.15665000014</v>
      </c>
      <c r="O27" s="368">
        <f>$E$27-N27</f>
        <v>20670.893349999795</v>
      </c>
      <c r="P27" s="369"/>
      <c r="Q27" s="369">
        <f>$E$27-P27</f>
        <v>892909.04999999993</v>
      </c>
      <c r="R27" s="368">
        <v>870666</v>
      </c>
      <c r="S27" s="368">
        <f>$E$27-R27</f>
        <v>22243.04999999993</v>
      </c>
      <c r="T27" s="368">
        <v>869595</v>
      </c>
      <c r="U27" s="368">
        <f>$E$27-T27</f>
        <v>23314.04999999993</v>
      </c>
      <c r="V27" s="367">
        <v>892909.04999999993</v>
      </c>
      <c r="W27" s="368">
        <v>875512</v>
      </c>
      <c r="X27" s="368">
        <f>$E$27-W27</f>
        <v>17397.04999999993</v>
      </c>
      <c r="Y27" s="368">
        <v>875944</v>
      </c>
      <c r="Z27" s="368">
        <f>$E$27-Y27</f>
        <v>16965.04999999993</v>
      </c>
    </row>
    <row r="28" spans="1:26" ht="27" x14ac:dyDescent="0.25">
      <c r="A28" s="216">
        <v>9</v>
      </c>
      <c r="B28" s="4" t="s">
        <v>241</v>
      </c>
      <c r="C28" s="6" t="s">
        <v>4</v>
      </c>
      <c r="D28" s="3">
        <v>1</v>
      </c>
      <c r="E28" s="367">
        <v>8239266.8000000007</v>
      </c>
      <c r="F28" s="368">
        <v>8155840</v>
      </c>
      <c r="G28" s="368">
        <f>$E$28-F28</f>
        <v>83426.800000000745</v>
      </c>
      <c r="H28" s="368">
        <v>8198073</v>
      </c>
      <c r="I28" s="368">
        <f>$E$28-H28</f>
        <v>41193.800000000745</v>
      </c>
      <c r="J28" s="368">
        <v>8133395</v>
      </c>
      <c r="K28" s="368">
        <f>$E$28-J28</f>
        <v>105871.80000000075</v>
      </c>
      <c r="L28" s="368">
        <v>8034114</v>
      </c>
      <c r="M28" s="368">
        <f>$E$28-L28</f>
        <v>205152.80000000075</v>
      </c>
      <c r="N28" s="368">
        <v>8048531.8763500014</v>
      </c>
      <c r="O28" s="368">
        <f>$E$28-N28</f>
        <v>190734.92364999931</v>
      </c>
      <c r="P28" s="369"/>
      <c r="Q28" s="369">
        <f>$E$28-P28</f>
        <v>8239266.8000000007</v>
      </c>
      <c r="R28" s="368">
        <v>8034086</v>
      </c>
      <c r="S28" s="368">
        <f>$E$28-R28</f>
        <v>205180.80000000075</v>
      </c>
      <c r="T28" s="368">
        <v>8024146</v>
      </c>
      <c r="U28" s="368">
        <f>$E$28-T28</f>
        <v>215120.80000000075</v>
      </c>
      <c r="V28" s="367">
        <v>8239266.8000000007</v>
      </c>
      <c r="W28" s="368">
        <v>8078736</v>
      </c>
      <c r="X28" s="368">
        <f>$E$28-W28</f>
        <v>160530.80000000075</v>
      </c>
      <c r="Y28" s="368">
        <v>8082724</v>
      </c>
      <c r="Z28" s="368">
        <f>$E$28-Y28</f>
        <v>156542.80000000075</v>
      </c>
    </row>
    <row r="29" spans="1:26" ht="27" x14ac:dyDescent="0.25">
      <c r="A29" s="216">
        <v>10</v>
      </c>
      <c r="B29" s="4" t="s">
        <v>252</v>
      </c>
      <c r="C29" s="6" t="s">
        <v>4</v>
      </c>
      <c r="D29" s="3">
        <v>1</v>
      </c>
      <c r="E29" s="367">
        <v>7372103.9999999991</v>
      </c>
      <c r="F29" s="368">
        <v>7311570</v>
      </c>
      <c r="G29" s="368">
        <f>$E$29-F29</f>
        <v>60533.999999999069</v>
      </c>
      <c r="H29" s="368">
        <v>7335245</v>
      </c>
      <c r="I29" s="368">
        <f>$E$29-H29</f>
        <v>36858.999999999069</v>
      </c>
      <c r="J29" s="368">
        <v>7277377</v>
      </c>
      <c r="K29" s="368">
        <f>$E$29-J29</f>
        <v>94726.999999999069</v>
      </c>
      <c r="L29" s="368">
        <v>7188543</v>
      </c>
      <c r="M29" s="368">
        <f>$E$29-L29</f>
        <v>183560.99999999907</v>
      </c>
      <c r="N29" s="368">
        <v>7201442.7229500022</v>
      </c>
      <c r="O29" s="368">
        <f>$E$29-N29</f>
        <v>170661.27704999689</v>
      </c>
      <c r="P29" s="369"/>
      <c r="Q29" s="369">
        <f>$E$29-P29</f>
        <v>7372103.9999999991</v>
      </c>
      <c r="R29" s="368">
        <v>7188524</v>
      </c>
      <c r="S29" s="368">
        <f>$E$29-R29</f>
        <v>183579.99999999907</v>
      </c>
      <c r="T29" s="368">
        <v>7179623</v>
      </c>
      <c r="U29" s="368">
        <f>$E$29-T29</f>
        <v>192480.99999999907</v>
      </c>
      <c r="V29" s="367">
        <v>7372103.9999999991</v>
      </c>
      <c r="W29" s="368">
        <v>7228466</v>
      </c>
      <c r="X29" s="368">
        <f>$E$29-W29</f>
        <v>143637.99999999907</v>
      </c>
      <c r="Y29" s="368">
        <v>7232036</v>
      </c>
      <c r="Z29" s="368">
        <f>$E$29-Y29</f>
        <v>140067.99999999907</v>
      </c>
    </row>
    <row r="30" spans="1:26" x14ac:dyDescent="0.25">
      <c r="A30" s="216">
        <v>11</v>
      </c>
      <c r="B30" s="5" t="s">
        <v>258</v>
      </c>
      <c r="C30" s="6" t="s">
        <v>4</v>
      </c>
      <c r="D30" s="3">
        <v>1</v>
      </c>
      <c r="E30" s="367">
        <v>3498106.95</v>
      </c>
      <c r="F30" s="368">
        <v>3460000</v>
      </c>
      <c r="G30" s="368">
        <f>$E$30-F30</f>
        <v>38106.950000000186</v>
      </c>
      <c r="H30" s="368">
        <v>3459277</v>
      </c>
      <c r="I30" s="368">
        <f>$E$30-H30</f>
        <v>38829.950000000186</v>
      </c>
      <c r="J30" s="368">
        <v>3453157</v>
      </c>
      <c r="K30" s="368">
        <f>$E$30-J30</f>
        <v>44949.950000000186</v>
      </c>
      <c r="L30" s="368">
        <v>3411004</v>
      </c>
      <c r="M30" s="368">
        <f>$E$30-L30</f>
        <v>87102.950000000186</v>
      </c>
      <c r="N30" s="368">
        <v>3417125.8229499999</v>
      </c>
      <c r="O30" s="368">
        <f>$E$30-N30</f>
        <v>80981.127050000243</v>
      </c>
      <c r="P30" s="369"/>
      <c r="Q30" s="369">
        <f>$E$30-P30</f>
        <v>3498106.95</v>
      </c>
      <c r="R30" s="368">
        <v>3411000</v>
      </c>
      <c r="S30" s="368">
        <f>$E$30-R30</f>
        <v>87106.950000000186</v>
      </c>
      <c r="T30" s="368">
        <v>3406771</v>
      </c>
      <c r="U30" s="368">
        <f>$E$30-T30</f>
        <v>91335.950000000186</v>
      </c>
      <c r="V30" s="367">
        <v>3498106.95</v>
      </c>
      <c r="W30" s="368">
        <v>3429950</v>
      </c>
      <c r="X30" s="368">
        <f>$E$30-W30</f>
        <v>68156.950000000186</v>
      </c>
      <c r="Y30" s="368">
        <v>3431643</v>
      </c>
      <c r="Z30" s="368">
        <f>$E$30-Y30</f>
        <v>66463.950000000186</v>
      </c>
    </row>
    <row r="31" spans="1:26" ht="27" x14ac:dyDescent="0.25">
      <c r="A31" s="216">
        <v>12</v>
      </c>
      <c r="B31" s="5" t="s">
        <v>262</v>
      </c>
      <c r="C31" s="6" t="s">
        <v>4</v>
      </c>
      <c r="D31" s="3">
        <v>1</v>
      </c>
      <c r="E31" s="367">
        <v>217729.05000000002</v>
      </c>
      <c r="F31" s="368">
        <v>212260</v>
      </c>
      <c r="G31" s="368">
        <f>$E$31-F31</f>
        <v>5469.0500000000175</v>
      </c>
      <c r="H31" s="368">
        <v>212876</v>
      </c>
      <c r="I31" s="368">
        <f>$E$31-H31</f>
        <v>4853.0500000000175</v>
      </c>
      <c r="J31" s="368">
        <v>214931</v>
      </c>
      <c r="K31" s="368">
        <f>$E$31-J31</f>
        <v>2798.0500000000175</v>
      </c>
      <c r="L31" s="368">
        <v>212308</v>
      </c>
      <c r="M31" s="368">
        <f>$E$31-L31</f>
        <v>5421.0500000000175</v>
      </c>
      <c r="N31" s="368">
        <v>212687.5968</v>
      </c>
      <c r="O31" s="368">
        <f>$E$31-N31</f>
        <v>5041.4532000000181</v>
      </c>
      <c r="P31" s="369"/>
      <c r="Q31" s="369">
        <f>$E$31-P31</f>
        <v>217729.05000000002</v>
      </c>
      <c r="R31" s="368">
        <v>212301</v>
      </c>
      <c r="S31" s="368">
        <f>$E$31-R31</f>
        <v>5428.0500000000175</v>
      </c>
      <c r="T31" s="368">
        <v>212044</v>
      </c>
      <c r="U31" s="368">
        <f>$E$31-T31</f>
        <v>5685.0500000000175</v>
      </c>
      <c r="V31" s="367">
        <v>217729.05000000002</v>
      </c>
      <c r="W31" s="368">
        <v>213484</v>
      </c>
      <c r="X31" s="368">
        <f>$E$31-W31</f>
        <v>4245.0500000000175</v>
      </c>
      <c r="Y31" s="368">
        <v>213591</v>
      </c>
      <c r="Z31" s="368">
        <f>$E$31-Y31</f>
        <v>4138.0500000000175</v>
      </c>
    </row>
    <row r="32" spans="1:26" x14ac:dyDescent="0.25">
      <c r="A32" s="439" t="s">
        <v>128</v>
      </c>
      <c r="B32" s="439"/>
      <c r="C32" s="439"/>
      <c r="D32" s="439"/>
      <c r="E32" s="370">
        <v>38005344</v>
      </c>
      <c r="F32" s="371">
        <f>SUM(F20:F31)</f>
        <v>37581102</v>
      </c>
      <c r="G32" s="371">
        <f>$E$32-F32</f>
        <v>424242</v>
      </c>
      <c r="H32" s="371">
        <f>SUM(H20:H31)</f>
        <v>37694834</v>
      </c>
      <c r="I32" s="371">
        <f>$E$32-H32</f>
        <v>310510</v>
      </c>
      <c r="J32" s="371">
        <f>SUM(J20:J31)</f>
        <v>37487757</v>
      </c>
      <c r="K32" s="371">
        <f>$E$32-J32</f>
        <v>517587</v>
      </c>
      <c r="L32" s="371">
        <f>SUM(L20:L31)</f>
        <v>37059021</v>
      </c>
      <c r="M32" s="371">
        <f>$E$32-L32</f>
        <v>946323</v>
      </c>
      <c r="N32" s="371">
        <f>SUM(N20:N31)</f>
        <v>37125520.286399998</v>
      </c>
      <c r="O32" s="371">
        <f>$E$32-N32</f>
        <v>879823.71360000223</v>
      </c>
      <c r="P32" s="369">
        <f>SUM(P20:P31)</f>
        <v>0</v>
      </c>
      <c r="Q32" s="369">
        <f>$E$32-P32</f>
        <v>38005344</v>
      </c>
      <c r="R32" s="371">
        <f>SUM(R20:R31)</f>
        <v>37058852</v>
      </c>
      <c r="S32" s="371">
        <f>$E$32-R32</f>
        <v>946492</v>
      </c>
      <c r="T32" s="371">
        <f>SUM(T20:T31)</f>
        <v>37013025</v>
      </c>
      <c r="U32" s="371">
        <f>$E$32-T32</f>
        <v>992319</v>
      </c>
      <c r="V32" s="370">
        <v>38005344</v>
      </c>
      <c r="W32" s="371">
        <f>SUM(W20:W31)</f>
        <v>37264840</v>
      </c>
      <c r="X32" s="371">
        <f>$E$32-W32</f>
        <v>740504</v>
      </c>
      <c r="Y32" s="371">
        <f>SUM(Y20:Y31)</f>
        <v>37283238</v>
      </c>
      <c r="Z32" s="371">
        <f>$E$32-Y32</f>
        <v>722106</v>
      </c>
    </row>
    <row r="33" spans="1:26" x14ac:dyDescent="0.25">
      <c r="A33" s="440" t="s">
        <v>136</v>
      </c>
      <c r="B33" s="440"/>
      <c r="C33" s="440"/>
      <c r="D33" s="7">
        <v>0.2</v>
      </c>
      <c r="E33" s="367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9"/>
      <c r="Q33" s="369"/>
      <c r="R33" s="368"/>
      <c r="S33" s="368"/>
      <c r="T33" s="368"/>
      <c r="U33" s="368"/>
      <c r="V33" s="367"/>
      <c r="W33" s="368"/>
      <c r="X33" s="368"/>
      <c r="Y33" s="368"/>
      <c r="Z33" s="368"/>
    </row>
    <row r="34" spans="1:26" x14ac:dyDescent="0.25">
      <c r="A34" s="8"/>
      <c r="B34" s="8" t="s">
        <v>134</v>
      </c>
      <c r="C34" s="8"/>
      <c r="D34" s="9">
        <v>0.13</v>
      </c>
      <c r="E34" s="367">
        <v>4940692.9279499995</v>
      </c>
      <c r="F34" s="368">
        <f>ROUND(F32*D34,0)</f>
        <v>4885543</v>
      </c>
      <c r="G34" s="368">
        <f>$E$34-F34</f>
        <v>55149.927949999459</v>
      </c>
      <c r="H34" s="368">
        <f>H32*D34</f>
        <v>4900328.42</v>
      </c>
      <c r="I34" s="368">
        <f>$E$34-H34</f>
        <v>40364.507949999534</v>
      </c>
      <c r="J34" s="368">
        <f>J32*D34</f>
        <v>4873408.41</v>
      </c>
      <c r="K34" s="368">
        <f>$E$34-J34</f>
        <v>67284.51794999931</v>
      </c>
      <c r="L34" s="368">
        <f>L32*D34</f>
        <v>4817672.7300000004</v>
      </c>
      <c r="M34" s="368">
        <f>$E$34-L34</f>
        <v>123020.19794999901</v>
      </c>
      <c r="N34" s="368">
        <f>N32*D34</f>
        <v>4826317.637232</v>
      </c>
      <c r="O34" s="368">
        <f>$E$34-N34</f>
        <v>114375.29071799945</v>
      </c>
      <c r="P34" s="369">
        <f>P32*D34</f>
        <v>0</v>
      </c>
      <c r="Q34" s="369">
        <f>$E$34-P34</f>
        <v>4940692.9279499995</v>
      </c>
      <c r="R34" s="368">
        <f>R32*D34</f>
        <v>4817650.76</v>
      </c>
      <c r="S34" s="368">
        <f>$E$34-R34</f>
        <v>123042.16794999968</v>
      </c>
      <c r="T34" s="368">
        <f>T32*D34</f>
        <v>4811693.25</v>
      </c>
      <c r="U34" s="368">
        <f>$E$34-T34</f>
        <v>128999.67794999946</v>
      </c>
      <c r="V34" s="367">
        <v>4940692.9279499995</v>
      </c>
      <c r="W34" s="368">
        <f>W32*D34</f>
        <v>4844429.2</v>
      </c>
      <c r="X34" s="368">
        <f>$E$34-W34</f>
        <v>96263.727949999273</v>
      </c>
      <c r="Y34" s="368">
        <f>Y32*D34</f>
        <v>4846820.9400000004</v>
      </c>
      <c r="Z34" s="368">
        <f>$E$34-Y34</f>
        <v>93871.987949999049</v>
      </c>
    </row>
    <row r="35" spans="1:26" x14ac:dyDescent="0.25">
      <c r="A35" s="8"/>
      <c r="B35" s="8" t="s">
        <v>132</v>
      </c>
      <c r="C35" s="8"/>
      <c r="D35" s="7">
        <v>0.02</v>
      </c>
      <c r="E35" s="367">
        <v>760106.60429999989</v>
      </c>
      <c r="F35" s="368">
        <f>ROUND(F32*D35,0)</f>
        <v>751622</v>
      </c>
      <c r="G35" s="368">
        <f>$E$35-F35</f>
        <v>8484.6042999998899</v>
      </c>
      <c r="H35" s="368">
        <f>H32*D35</f>
        <v>753896.68</v>
      </c>
      <c r="I35" s="368">
        <f>$E$35-H35</f>
        <v>6209.9242999998387</v>
      </c>
      <c r="J35" s="368">
        <f>J32*D35</f>
        <v>749755.14</v>
      </c>
      <c r="K35" s="368">
        <f>$E$35-J35</f>
        <v>10351.464299999876</v>
      </c>
      <c r="L35" s="368">
        <f>L32*D35</f>
        <v>741180.42</v>
      </c>
      <c r="M35" s="368">
        <f>$E$35-L35</f>
        <v>18926.184299999848</v>
      </c>
      <c r="N35" s="368">
        <f>N32*D35</f>
        <v>742510.40572799998</v>
      </c>
      <c r="O35" s="368">
        <f>$E$35-N35</f>
        <v>17596.198571999907</v>
      </c>
      <c r="P35" s="369">
        <f>P32*D35</f>
        <v>0</v>
      </c>
      <c r="Q35" s="369">
        <f>$E$35-P35</f>
        <v>760106.60429999989</v>
      </c>
      <c r="R35" s="368">
        <f>R32*D35</f>
        <v>741177.04</v>
      </c>
      <c r="S35" s="368">
        <f>$E$35-R35</f>
        <v>18929.564299999853</v>
      </c>
      <c r="T35" s="368">
        <f>T32*D35</f>
        <v>740260.5</v>
      </c>
      <c r="U35" s="368">
        <f>$E$35-T35</f>
        <v>19846.10429999989</v>
      </c>
      <c r="V35" s="367">
        <v>760106.60429999989</v>
      </c>
      <c r="W35" s="368">
        <f>W32*D35</f>
        <v>745296.8</v>
      </c>
      <c r="X35" s="368">
        <f>$E$35-W35</f>
        <v>14809.804299999843</v>
      </c>
      <c r="Y35" s="368">
        <f>Y32*D35</f>
        <v>745664.76</v>
      </c>
      <c r="Z35" s="368">
        <f>$E$35-Y35</f>
        <v>14441.844299999881</v>
      </c>
    </row>
    <row r="36" spans="1:26" x14ac:dyDescent="0.25">
      <c r="A36" s="8"/>
      <c r="B36" s="8" t="s">
        <v>133</v>
      </c>
      <c r="C36" s="8"/>
      <c r="D36" s="7">
        <v>0.05</v>
      </c>
      <c r="E36" s="367">
        <v>1900266.5107499999</v>
      </c>
      <c r="F36" s="368">
        <f>ROUND(F32*D36,0)</f>
        <v>1879055</v>
      </c>
      <c r="G36" s="368">
        <f>$E$36-F36</f>
        <v>21211.510749999899</v>
      </c>
      <c r="H36" s="368">
        <f>H32*D36</f>
        <v>1884741.7000000002</v>
      </c>
      <c r="I36" s="368">
        <f>$E$36-H36</f>
        <v>15524.810749999713</v>
      </c>
      <c r="J36" s="368">
        <f>J32*D36</f>
        <v>1874387.85</v>
      </c>
      <c r="K36" s="368">
        <f>$E$36-J36</f>
        <v>25878.660749999806</v>
      </c>
      <c r="L36" s="368">
        <f>L32*D36</f>
        <v>1852951.05</v>
      </c>
      <c r="M36" s="368">
        <f>$E$36-L36</f>
        <v>47315.460749999853</v>
      </c>
      <c r="N36" s="368">
        <f>N32*D36</f>
        <v>1856276.0143200001</v>
      </c>
      <c r="O36" s="368">
        <f>$E$36-N36</f>
        <v>43990.496429999825</v>
      </c>
      <c r="P36" s="369">
        <f>P32*D36</f>
        <v>0</v>
      </c>
      <c r="Q36" s="369">
        <f>$E$36-P36</f>
        <v>1900266.5107499999</v>
      </c>
      <c r="R36" s="368">
        <f>R32*D36</f>
        <v>1852942.6</v>
      </c>
      <c r="S36" s="368">
        <f>$E$36-R36</f>
        <v>47323.910749999806</v>
      </c>
      <c r="T36" s="368">
        <f>T32*D36</f>
        <v>1850651.25</v>
      </c>
      <c r="U36" s="368">
        <f>$E$36-T36</f>
        <v>49615.260749999899</v>
      </c>
      <c r="V36" s="367">
        <v>1900266.5107499999</v>
      </c>
      <c r="W36" s="368">
        <f>W32*D36</f>
        <v>1863242</v>
      </c>
      <c r="X36" s="368">
        <f>$E$36-W36</f>
        <v>37024.510749999899</v>
      </c>
      <c r="Y36" s="368">
        <f>Y32*D36</f>
        <v>1864161.9000000001</v>
      </c>
      <c r="Z36" s="368">
        <f>$E$36-Y36</f>
        <v>36104.61074999976</v>
      </c>
    </row>
    <row r="37" spans="1:26" x14ac:dyDescent="0.25">
      <c r="A37" s="8"/>
      <c r="B37" s="8" t="s">
        <v>135</v>
      </c>
      <c r="C37" s="8"/>
      <c r="D37" s="7">
        <v>0.19</v>
      </c>
      <c r="E37" s="367">
        <v>361050.63704249996</v>
      </c>
      <c r="F37" s="368">
        <f>ROUND(F36*D37,0)</f>
        <v>357020</v>
      </c>
      <c r="G37" s="368">
        <f>$E$37-F37</f>
        <v>4030.6370424999623</v>
      </c>
      <c r="H37" s="368">
        <f>H36*D37</f>
        <v>358100.92300000007</v>
      </c>
      <c r="I37" s="368">
        <f>$E$37-H37</f>
        <v>2949.7140424998943</v>
      </c>
      <c r="J37" s="368">
        <f>J36*D37</f>
        <v>356133.69150000002</v>
      </c>
      <c r="K37" s="368">
        <f>$E$37-J37</f>
        <v>4916.9455424999469</v>
      </c>
      <c r="L37" s="368">
        <f>L36*D37</f>
        <v>352060.69949999999</v>
      </c>
      <c r="M37" s="368">
        <f>$E$37-L37</f>
        <v>8989.9375424999744</v>
      </c>
      <c r="N37" s="368">
        <f>N36*D37</f>
        <v>352692.4427208</v>
      </c>
      <c r="O37" s="368">
        <f>$E$37-N37</f>
        <v>8358.1943216999643</v>
      </c>
      <c r="P37" s="369">
        <f>P36*D37</f>
        <v>0</v>
      </c>
      <c r="Q37" s="369">
        <f>$E$37-P37</f>
        <v>361050.63704249996</v>
      </c>
      <c r="R37" s="368">
        <f>R36*D37</f>
        <v>352059.09400000004</v>
      </c>
      <c r="S37" s="368">
        <f>$E$37-R37</f>
        <v>8991.5430424999213</v>
      </c>
      <c r="T37" s="368">
        <f>T36*D37</f>
        <v>351623.73749999999</v>
      </c>
      <c r="U37" s="368">
        <f>$E$37-T37</f>
        <v>9426.8995424999739</v>
      </c>
      <c r="V37" s="367">
        <v>361050.63704249996</v>
      </c>
      <c r="W37" s="368">
        <f>W36*D37</f>
        <v>354015.98</v>
      </c>
      <c r="X37" s="368">
        <f>$E$37-W37</f>
        <v>7034.6570424999809</v>
      </c>
      <c r="Y37" s="368">
        <f>Y36*D37</f>
        <v>354190.76100000006</v>
      </c>
      <c r="Z37" s="368">
        <f>$E$37-Y37</f>
        <v>6859.8760424999055</v>
      </c>
    </row>
    <row r="38" spans="1:26" x14ac:dyDescent="0.25">
      <c r="A38" s="13"/>
      <c r="B38" s="439" t="s">
        <v>129</v>
      </c>
      <c r="C38" s="439"/>
      <c r="D38" s="439"/>
      <c r="E38" s="370">
        <f>SUM(E34:E37)</f>
        <v>7962116.6800424997</v>
      </c>
      <c r="F38" s="371">
        <f>SUM(F34:F37)</f>
        <v>7873240</v>
      </c>
      <c r="G38" s="371">
        <f>$E$38-F38</f>
        <v>88876.680042499676</v>
      </c>
      <c r="H38" s="371">
        <f>SUM(H34:H37)</f>
        <v>7897067.7230000002</v>
      </c>
      <c r="I38" s="371">
        <f>$E$38-H38</f>
        <v>65048.957042499445</v>
      </c>
      <c r="J38" s="371">
        <f>SUM(J34:J37)</f>
        <v>7853685.0915000001</v>
      </c>
      <c r="K38" s="371">
        <f>$E$38-J38</f>
        <v>108431.58854249958</v>
      </c>
      <c r="L38" s="371">
        <f>SUM(L34:L37)</f>
        <v>7763864.8995000003</v>
      </c>
      <c r="M38" s="371">
        <f>$E$38-L38</f>
        <v>198251.78054249939</v>
      </c>
      <c r="N38" s="371">
        <f>SUM(N34:N37)</f>
        <v>7777796.5000008</v>
      </c>
      <c r="O38" s="371">
        <f>$E$38-N38</f>
        <v>184320.18004169967</v>
      </c>
      <c r="P38" s="369">
        <f>SUM(P34:P37)</f>
        <v>0</v>
      </c>
      <c r="Q38" s="369">
        <f>$E$38-P38</f>
        <v>7962116.6800424997</v>
      </c>
      <c r="R38" s="371">
        <f>SUM(R34:R37)</f>
        <v>7763829.4940000009</v>
      </c>
      <c r="S38" s="371">
        <f>$E$38-R38</f>
        <v>198287.1860424988</v>
      </c>
      <c r="T38" s="371">
        <f>SUM(T34:T37)</f>
        <v>7754228.7374999998</v>
      </c>
      <c r="U38" s="371">
        <f>$E$38-T38</f>
        <v>207887.94254249986</v>
      </c>
      <c r="V38" s="370">
        <f>SUM(V34:V37)</f>
        <v>7962116.6800424997</v>
      </c>
      <c r="W38" s="371">
        <f>SUM(W34:W37)</f>
        <v>7806983.9800000004</v>
      </c>
      <c r="X38" s="371">
        <f>$E$38-W38</f>
        <v>155132.70004249923</v>
      </c>
      <c r="Y38" s="371">
        <f>SUM(Y34:Y37)</f>
        <v>7810838.3610000005</v>
      </c>
      <c r="Z38" s="371">
        <f>$E$38-Y38</f>
        <v>151278.31904249918</v>
      </c>
    </row>
    <row r="39" spans="1:26" ht="16.5" x14ac:dyDescent="0.25">
      <c r="A39" s="441" t="s">
        <v>130</v>
      </c>
      <c r="B39" s="441"/>
      <c r="C39" s="441"/>
      <c r="D39" s="441"/>
      <c r="E39" s="372">
        <f>E32+E38</f>
        <v>45967460.680042498</v>
      </c>
      <c r="F39" s="373">
        <f>F32+F38</f>
        <v>45454342</v>
      </c>
      <c r="G39" s="373">
        <f>$E$39-F39</f>
        <v>513118.68004249781</v>
      </c>
      <c r="H39" s="373">
        <f>H32+H38</f>
        <v>45591901.722999997</v>
      </c>
      <c r="I39" s="373">
        <f>$E$39-H39</f>
        <v>375558.95704250038</v>
      </c>
      <c r="J39" s="373">
        <f>J32+J38</f>
        <v>45341442.091499999</v>
      </c>
      <c r="K39" s="373">
        <f>$E$39-J39</f>
        <v>626018.58854249865</v>
      </c>
      <c r="L39" s="373">
        <f>L32+L38</f>
        <v>44822885.899499997</v>
      </c>
      <c r="M39" s="373">
        <f>$E$39-L39</f>
        <v>1144574.7805425003</v>
      </c>
      <c r="N39" s="373">
        <f>N32+N38</f>
        <v>44903316.786400795</v>
      </c>
      <c r="O39" s="373">
        <f>$E$39-N39</f>
        <v>1064143.8936417028</v>
      </c>
      <c r="P39" s="369">
        <f>P32+P38</f>
        <v>0</v>
      </c>
      <c r="Q39" s="369">
        <f>$E$39-P39</f>
        <v>45967460.680042498</v>
      </c>
      <c r="R39" s="373">
        <f>R32+R38</f>
        <v>44822681.494000003</v>
      </c>
      <c r="S39" s="373">
        <f>$E$39-R39</f>
        <v>1144779.1860424951</v>
      </c>
      <c r="T39" s="373">
        <f>T32+T38</f>
        <v>44767253.737499997</v>
      </c>
      <c r="U39" s="373">
        <f>$E$39-T39</f>
        <v>1200206.9425425008</v>
      </c>
      <c r="V39" s="372">
        <f>V32+V38</f>
        <v>45967460.680042498</v>
      </c>
      <c r="W39" s="373">
        <f>W32+W38</f>
        <v>45071823.980000004</v>
      </c>
      <c r="X39" s="373">
        <f>$E$39-W39</f>
        <v>895636.70004249364</v>
      </c>
      <c r="Y39" s="373">
        <f>Y32+Y38</f>
        <v>45094076.361000001</v>
      </c>
      <c r="Z39" s="373">
        <f>$E$39-Y39</f>
        <v>873384.31904249638</v>
      </c>
    </row>
  </sheetData>
  <mergeCells count="8">
    <mergeCell ref="A32:D32"/>
    <mergeCell ref="A33:C33"/>
    <mergeCell ref="B38:D38"/>
    <mergeCell ref="A39:D39"/>
    <mergeCell ref="A9:D9"/>
    <mergeCell ref="A10:C10"/>
    <mergeCell ref="B15:D15"/>
    <mergeCell ref="A16:D16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49ABD-9504-4317-8669-4830F80D60EC}">
  <dimension ref="A1:Z39"/>
  <sheetViews>
    <sheetView zoomScale="130" zoomScaleNormal="13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L38" sqref="L38"/>
    </sheetView>
  </sheetViews>
  <sheetFormatPr baseColWidth="10" defaultRowHeight="15" x14ac:dyDescent="0.25"/>
  <cols>
    <col min="1" max="1" width="4.42578125" style="2" bestFit="1" customWidth="1"/>
    <col min="2" max="2" width="30.85546875" style="10" customWidth="1"/>
    <col min="3" max="3" width="6.140625" style="2" bestFit="1" customWidth="1"/>
    <col min="4" max="4" width="6.42578125" style="2" bestFit="1" customWidth="1"/>
    <col min="5" max="5" width="14.7109375" style="374" bestFit="1" customWidth="1"/>
    <col min="6" max="6" width="12.28515625" style="19" customWidth="1"/>
    <col min="7" max="7" width="10.7109375" style="19" customWidth="1"/>
    <col min="8" max="8" width="14.28515625" style="19" customWidth="1"/>
    <col min="9" max="9" width="10.7109375" style="19" customWidth="1"/>
    <col min="10" max="10" width="12.28515625" style="19" customWidth="1"/>
    <col min="11" max="11" width="10.7109375" style="19" customWidth="1"/>
    <col min="12" max="12" width="12.28515625" style="19" customWidth="1"/>
    <col min="13" max="13" width="10.7109375" style="19" customWidth="1"/>
    <col min="14" max="14" width="12.28515625" style="19" customWidth="1"/>
    <col min="15" max="15" width="11.85546875" style="19" bestFit="1" customWidth="1"/>
    <col min="16" max="16" width="12.28515625" style="363" customWidth="1"/>
    <col min="17" max="17" width="11.85546875" style="363" bestFit="1" customWidth="1"/>
    <col min="18" max="18" width="12.28515625" style="19" customWidth="1"/>
    <col min="19" max="19" width="11.85546875" style="19" bestFit="1" customWidth="1"/>
    <col min="20" max="20" width="12.28515625" style="19" customWidth="1"/>
    <col min="21" max="21" width="11.85546875" style="19" bestFit="1" customWidth="1"/>
    <col min="22" max="22" width="14.7109375" style="374" bestFit="1" customWidth="1"/>
    <col min="23" max="23" width="12.28515625" style="19" customWidth="1"/>
    <col min="24" max="24" width="11.85546875" style="19" bestFit="1" customWidth="1"/>
    <col min="25" max="25" width="12.28515625" style="363" customWidth="1"/>
    <col min="26" max="26" width="11.85546875" style="363" bestFit="1" customWidth="1"/>
  </cols>
  <sheetData>
    <row r="1" spans="1:26" ht="40.5" x14ac:dyDescent="0.25">
      <c r="A1" s="11" t="s">
        <v>127</v>
      </c>
      <c r="B1" s="12" t="s">
        <v>7</v>
      </c>
      <c r="C1" s="12" t="s">
        <v>4</v>
      </c>
      <c r="D1" s="12" t="s">
        <v>138</v>
      </c>
      <c r="E1" s="364" t="s">
        <v>137</v>
      </c>
      <c r="F1" s="365" t="s">
        <v>422</v>
      </c>
      <c r="G1" s="365" t="s">
        <v>271</v>
      </c>
      <c r="H1" s="365" t="s">
        <v>423</v>
      </c>
      <c r="I1" s="365" t="s">
        <v>271</v>
      </c>
      <c r="J1" s="365" t="s">
        <v>269</v>
      </c>
      <c r="K1" s="365" t="s">
        <v>271</v>
      </c>
      <c r="L1" s="365" t="s">
        <v>424</v>
      </c>
      <c r="M1" s="365" t="s">
        <v>271</v>
      </c>
      <c r="N1" s="365" t="s">
        <v>425</v>
      </c>
      <c r="O1" s="365" t="s">
        <v>271</v>
      </c>
      <c r="P1" s="366">
        <v>16</v>
      </c>
      <c r="Q1" s="366" t="s">
        <v>271</v>
      </c>
      <c r="R1" s="365" t="s">
        <v>426</v>
      </c>
      <c r="S1" s="365" t="s">
        <v>271</v>
      </c>
      <c r="T1" s="365" t="s">
        <v>427</v>
      </c>
      <c r="U1" s="365" t="s">
        <v>271</v>
      </c>
      <c r="V1" s="364" t="s">
        <v>137</v>
      </c>
      <c r="W1" s="365" t="s">
        <v>428</v>
      </c>
      <c r="X1" s="365" t="s">
        <v>271</v>
      </c>
      <c r="Y1" s="366">
        <v>20</v>
      </c>
      <c r="Z1" s="366" t="s">
        <v>271</v>
      </c>
    </row>
    <row r="2" spans="1:26" ht="27" x14ac:dyDescent="0.25">
      <c r="A2" s="216">
        <v>1</v>
      </c>
      <c r="B2" s="5" t="s">
        <v>292</v>
      </c>
      <c r="C2" s="6" t="s">
        <v>4</v>
      </c>
      <c r="D2" s="3">
        <v>1</v>
      </c>
      <c r="E2" s="367">
        <v>4568383</v>
      </c>
      <c r="F2" s="368">
        <f>342300+1202940+458384.69+1714875.18</f>
        <v>3718499.87</v>
      </c>
      <c r="G2" s="368">
        <f>$E$2-F2</f>
        <v>849883.12999999989</v>
      </c>
      <c r="H2" s="368">
        <v>4568383</v>
      </c>
      <c r="I2" s="368">
        <f>$E$2-H2</f>
        <v>0</v>
      </c>
      <c r="J2" s="368">
        <v>4471886.8</v>
      </c>
      <c r="K2" s="368">
        <f>$E$2-J2</f>
        <v>96496.200000000186</v>
      </c>
      <c r="L2" s="368">
        <v>4568383.0039999997</v>
      </c>
      <c r="M2" s="368">
        <f>$E$2-L2</f>
        <v>-3.9999997243285179E-3</v>
      </c>
      <c r="N2" s="368">
        <v>4467876.4000000004</v>
      </c>
      <c r="O2" s="368">
        <f>$E$2-N2</f>
        <v>100506.59999999963</v>
      </c>
      <c r="P2" s="369"/>
      <c r="Q2" s="369">
        <f>$E$2-P2</f>
        <v>4568383</v>
      </c>
      <c r="R2" s="368">
        <v>4522699.17</v>
      </c>
      <c r="S2" s="368">
        <f>$E$2-R2</f>
        <v>45683.830000000075</v>
      </c>
      <c r="T2" s="368">
        <v>4451663</v>
      </c>
      <c r="U2" s="368">
        <f>$E$2-T2</f>
        <v>116720</v>
      </c>
      <c r="V2" s="367">
        <v>4568383</v>
      </c>
      <c r="W2" s="368">
        <v>4463768.2</v>
      </c>
      <c r="X2" s="368">
        <f>$E$2-W2</f>
        <v>104614.79999999981</v>
      </c>
      <c r="Y2" s="369"/>
      <c r="Z2" s="369">
        <f>$E$2-Y2</f>
        <v>4568383</v>
      </c>
    </row>
    <row r="3" spans="1:26" x14ac:dyDescent="0.25">
      <c r="A3" s="216">
        <v>2</v>
      </c>
      <c r="B3" s="5" t="s">
        <v>299</v>
      </c>
      <c r="C3" s="6" t="s">
        <v>4</v>
      </c>
      <c r="D3" s="3">
        <v>1</v>
      </c>
      <c r="E3" s="367">
        <v>26508156.666666668</v>
      </c>
      <c r="F3" s="368">
        <f>4481685+20123168.26+1152299.16</f>
        <v>25757152.420000002</v>
      </c>
      <c r="G3" s="368">
        <f>$E$3-F3</f>
        <v>751004.24666666612</v>
      </c>
      <c r="H3" s="368">
        <v>26508157</v>
      </c>
      <c r="I3" s="368">
        <f>$E$3-H3</f>
        <v>-0.3333333320915699</v>
      </c>
      <c r="J3" s="368">
        <v>25948220</v>
      </c>
      <c r="K3" s="368">
        <f>$E$3-J3</f>
        <v>559936.66666666791</v>
      </c>
      <c r="L3" s="368">
        <v>26508157.100000001</v>
      </c>
      <c r="M3" s="368">
        <f>$E$3-L3</f>
        <v>-0.43333333358168602</v>
      </c>
      <c r="N3" s="368">
        <v>25924970</v>
      </c>
      <c r="O3" s="368">
        <f>$E$3-N3</f>
        <v>583186.66666666791</v>
      </c>
      <c r="P3" s="369"/>
      <c r="Q3" s="369">
        <f>$E$3-P3</f>
        <v>26508156.666666668</v>
      </c>
      <c r="R3" s="368">
        <v>26243075.43</v>
      </c>
      <c r="S3" s="368">
        <f>$E$3-R3</f>
        <v>265081.23666666821</v>
      </c>
      <c r="T3" s="368">
        <v>25830940</v>
      </c>
      <c r="U3" s="368">
        <f>$E$3-T3</f>
        <v>677216.66666666791</v>
      </c>
      <c r="V3" s="367">
        <v>26508156.666666668</v>
      </c>
      <c r="W3" s="368">
        <v>25901140</v>
      </c>
      <c r="X3" s="368">
        <f>$E$3-W3</f>
        <v>607016.66666666791</v>
      </c>
      <c r="Y3" s="369"/>
      <c r="Z3" s="369">
        <f>$E$3-Y3</f>
        <v>26508156.666666668</v>
      </c>
    </row>
    <row r="4" spans="1:26" x14ac:dyDescent="0.25">
      <c r="A4" s="216">
        <v>3</v>
      </c>
      <c r="B4" s="4" t="s">
        <v>308</v>
      </c>
      <c r="C4" s="6" t="s">
        <v>4</v>
      </c>
      <c r="D4" s="3">
        <v>1</v>
      </c>
      <c r="E4" s="367">
        <v>18398710.550000001</v>
      </c>
      <c r="F4" s="368">
        <f>8548086.75+5096358+4313850.96</f>
        <v>17958295.710000001</v>
      </c>
      <c r="G4" s="368">
        <f>$E$4-F4</f>
        <v>440414.83999999985</v>
      </c>
      <c r="H4" s="368">
        <v>18398711</v>
      </c>
      <c r="I4" s="368">
        <f>$E$4-H4</f>
        <v>-0.44999999925494194</v>
      </c>
      <c r="J4" s="368">
        <v>18010088</v>
      </c>
      <c r="K4" s="368">
        <f>$E$4-J4</f>
        <v>388622.55000000075</v>
      </c>
      <c r="L4" s="368">
        <v>18398709.949999999</v>
      </c>
      <c r="M4" s="368">
        <f>$E$4-L4</f>
        <v>0.60000000149011612</v>
      </c>
      <c r="N4" s="368">
        <v>17993999.390000001</v>
      </c>
      <c r="O4" s="368">
        <f>$E$4-N4</f>
        <v>404711.16000000015</v>
      </c>
      <c r="P4" s="369"/>
      <c r="Q4" s="369">
        <f>$E$4-P4</f>
        <v>18398710.550000001</v>
      </c>
      <c r="R4" s="368">
        <v>18214723.890000001</v>
      </c>
      <c r="S4" s="368">
        <f>$E$4-R4</f>
        <v>183986.66000000015</v>
      </c>
      <c r="T4" s="368">
        <v>17928585</v>
      </c>
      <c r="U4" s="368">
        <f>$E$4-T4</f>
        <v>470125.55000000075</v>
      </c>
      <c r="V4" s="367">
        <v>18398710.550000001</v>
      </c>
      <c r="W4" s="368">
        <v>17977380.780000001</v>
      </c>
      <c r="X4" s="368">
        <f>$E$4-W4</f>
        <v>421329.76999999955</v>
      </c>
      <c r="Y4" s="369"/>
      <c r="Z4" s="369">
        <f>$E$4-Y4</f>
        <v>18398710.550000001</v>
      </c>
    </row>
    <row r="5" spans="1:26" x14ac:dyDescent="0.25">
      <c r="A5" s="216">
        <v>4</v>
      </c>
      <c r="B5" s="4" t="s">
        <v>314</v>
      </c>
      <c r="C5" s="6" t="s">
        <v>4</v>
      </c>
      <c r="D5" s="3">
        <v>1</v>
      </c>
      <c r="E5" s="367">
        <v>9464086.666666666</v>
      </c>
      <c r="F5" s="368">
        <f>1585096.76+7670780</f>
        <v>9255876.7599999998</v>
      </c>
      <c r="G5" s="368">
        <f>$E$5-F5</f>
        <v>208209.90666666627</v>
      </c>
      <c r="H5" s="368">
        <v>9464086</v>
      </c>
      <c r="I5" s="368">
        <f>$E$5-H5</f>
        <v>0.66666666604578495</v>
      </c>
      <c r="J5" s="368">
        <v>9264190</v>
      </c>
      <c r="K5" s="368">
        <f>$E$5-J5</f>
        <v>199896.66666666605</v>
      </c>
      <c r="L5" s="368">
        <v>9464085.8000000007</v>
      </c>
      <c r="M5" s="368">
        <f>$E$5-L5</f>
        <v>0.86666666530072689</v>
      </c>
      <c r="N5" s="368">
        <v>9255870</v>
      </c>
      <c r="O5" s="368">
        <f>$E$5-N5</f>
        <v>208216.66666666605</v>
      </c>
      <c r="P5" s="369"/>
      <c r="Q5" s="369">
        <f>$E$5-P5</f>
        <v>9464086.666666666</v>
      </c>
      <c r="R5" s="368">
        <v>9369445.1400000006</v>
      </c>
      <c r="S5" s="368">
        <f>$E$5-R5</f>
        <v>94641.52666666545</v>
      </c>
      <c r="T5" s="368">
        <v>9222070</v>
      </c>
      <c r="U5" s="368">
        <f>$E$5-T5</f>
        <v>242016.66666666605</v>
      </c>
      <c r="V5" s="367">
        <v>9464086.666666666</v>
      </c>
      <c r="W5" s="368">
        <v>9247420</v>
      </c>
      <c r="X5" s="368">
        <f>$E$5-W5</f>
        <v>216666.66666666605</v>
      </c>
      <c r="Y5" s="369"/>
      <c r="Z5" s="369">
        <f>$E$5-Y5</f>
        <v>9464086.666666666</v>
      </c>
    </row>
    <row r="6" spans="1:26" ht="27" x14ac:dyDescent="0.25">
      <c r="A6" s="216">
        <v>5</v>
      </c>
      <c r="B6" s="4" t="s">
        <v>323</v>
      </c>
      <c r="C6" s="6" t="s">
        <v>4</v>
      </c>
      <c r="D6" s="3">
        <v>1</v>
      </c>
      <c r="E6" s="367">
        <v>46259409</v>
      </c>
      <c r="F6" s="368">
        <f>6203311.24+2016820.81+13676352+21124017.6</f>
        <v>43020501.650000006</v>
      </c>
      <c r="G6" s="368">
        <f>$E$6-F6</f>
        <v>3238907.349999994</v>
      </c>
      <c r="H6" s="368">
        <v>46259409</v>
      </c>
      <c r="I6" s="368">
        <f>$E$6-H6</f>
        <v>0</v>
      </c>
      <c r="J6" s="368">
        <v>45282269.670000002</v>
      </c>
      <c r="K6" s="368">
        <f>$E$6-J6</f>
        <v>977139.32999999821</v>
      </c>
      <c r="L6" s="368">
        <v>46259408.746700004</v>
      </c>
      <c r="M6" s="368">
        <f>$E$6-L6</f>
        <v>0.25329999625682831</v>
      </c>
      <c r="N6" s="368">
        <v>45241708.840000004</v>
      </c>
      <c r="O6" s="368">
        <f>$E$6-N6</f>
        <v>1017700.1599999964</v>
      </c>
      <c r="P6" s="369"/>
      <c r="Q6" s="369">
        <f>$E$6-P6</f>
        <v>46259409</v>
      </c>
      <c r="R6" s="368">
        <v>45796814.909999996</v>
      </c>
      <c r="S6" s="368">
        <f>$E$6-R6</f>
        <v>462594.09000000358</v>
      </c>
      <c r="T6" s="368">
        <v>45077504</v>
      </c>
      <c r="U6" s="368">
        <f>$E$6-T6</f>
        <v>1181905</v>
      </c>
      <c r="V6" s="367">
        <v>46259409</v>
      </c>
      <c r="W6" s="368">
        <v>45200063.850000001</v>
      </c>
      <c r="X6" s="368">
        <f>$E$6-W6</f>
        <v>1059345.1499999985</v>
      </c>
      <c r="Y6" s="369"/>
      <c r="Z6" s="369">
        <f>$E$6-Y6</f>
        <v>46259409</v>
      </c>
    </row>
    <row r="7" spans="1:26" x14ac:dyDescent="0.25">
      <c r="A7" s="216">
        <v>6</v>
      </c>
      <c r="B7" s="5" t="s">
        <v>328</v>
      </c>
      <c r="C7" s="6" t="s">
        <v>4</v>
      </c>
      <c r="D7" s="3">
        <v>1</v>
      </c>
      <c r="E7" s="367">
        <v>69497761.733333334</v>
      </c>
      <c r="F7" s="368">
        <v>67968810.980000004</v>
      </c>
      <c r="G7" s="368">
        <f>$E$7-F7</f>
        <v>1528950.7533333302</v>
      </c>
      <c r="H7" s="368">
        <v>67114865</v>
      </c>
      <c r="I7" s="368">
        <f>$E$7-H7</f>
        <v>2382896.7333333343</v>
      </c>
      <c r="J7" s="368">
        <v>68029784.049999997</v>
      </c>
      <c r="K7" s="368">
        <f>$E$7-J7</f>
        <v>1467977.6833333373</v>
      </c>
      <c r="L7" s="368">
        <v>69497761.964499995</v>
      </c>
      <c r="M7" s="368">
        <f>$E$7-L7</f>
        <v>-0.23116666078567505</v>
      </c>
      <c r="N7" s="368">
        <v>67968825.399999991</v>
      </c>
      <c r="O7" s="368">
        <f>$E$7-N7</f>
        <v>1528936.3333333433</v>
      </c>
      <c r="P7" s="369"/>
      <c r="Q7" s="369">
        <f>$E$7-P7</f>
        <v>69497761.733333334</v>
      </c>
      <c r="R7" s="368">
        <v>68802784.379999995</v>
      </c>
      <c r="S7" s="368">
        <f>$E$7-R7</f>
        <v>694977.3533333391</v>
      </c>
      <c r="T7" s="368">
        <v>67722147</v>
      </c>
      <c r="U7" s="368">
        <f>$E$7-T7</f>
        <v>1775614.7333333343</v>
      </c>
      <c r="V7" s="367">
        <v>69497761.733333334</v>
      </c>
      <c r="W7" s="368">
        <v>67906271.699999988</v>
      </c>
      <c r="X7" s="368">
        <f>$E$7-W7</f>
        <v>1591490.0333333462</v>
      </c>
      <c r="Y7" s="369"/>
      <c r="Z7" s="369">
        <f>$E$7-Y7</f>
        <v>69497761.733333334</v>
      </c>
    </row>
    <row r="8" spans="1:26" ht="27" x14ac:dyDescent="0.25">
      <c r="A8" s="216">
        <v>7</v>
      </c>
      <c r="B8" s="5" t="s">
        <v>333</v>
      </c>
      <c r="C8" s="6" t="s">
        <v>4</v>
      </c>
      <c r="D8" s="3">
        <v>1</v>
      </c>
      <c r="E8" s="367">
        <v>2370133.3333333335</v>
      </c>
      <c r="F8" s="368">
        <v>2317990.4</v>
      </c>
      <c r="G8" s="368">
        <f>$E$8-F8</f>
        <v>52142.933333333582</v>
      </c>
      <c r="H8" s="368">
        <v>2370133</v>
      </c>
      <c r="I8" s="368">
        <f>$E$8-H8</f>
        <v>0.33333333348855376</v>
      </c>
      <c r="J8" s="368">
        <v>2320000</v>
      </c>
      <c r="K8" s="368">
        <f>$E$8-J8</f>
        <v>50133.333333333489</v>
      </c>
      <c r="L8" s="368">
        <v>2370132</v>
      </c>
      <c r="M8" s="368">
        <f>$E$8-L8</f>
        <v>1.3333333334885538</v>
      </c>
      <c r="N8" s="368">
        <v>2318000</v>
      </c>
      <c r="O8" s="368">
        <f>$E$8-N8</f>
        <v>52133.333333333489</v>
      </c>
      <c r="P8" s="369"/>
      <c r="Q8" s="369">
        <f>$E$8-P8</f>
        <v>2370133.3333333335</v>
      </c>
      <c r="R8" s="368">
        <v>2346431.67</v>
      </c>
      <c r="S8" s="368">
        <f>$E$8-R8</f>
        <v>23701.663333333563</v>
      </c>
      <c r="T8" s="368">
        <v>2309600</v>
      </c>
      <c r="U8" s="368">
        <f>$E$8-T8</f>
        <v>60533.333333333489</v>
      </c>
      <c r="V8" s="367">
        <v>2370133.3333333335</v>
      </c>
      <c r="W8" s="368">
        <v>2316000</v>
      </c>
      <c r="X8" s="368">
        <f>$E$8-W8</f>
        <v>54133.333333333489</v>
      </c>
      <c r="Y8" s="369"/>
      <c r="Z8" s="369">
        <f>$E$8-Y8</f>
        <v>2370133.3333333335</v>
      </c>
    </row>
    <row r="9" spans="1:26" s="16" customFormat="1" x14ac:dyDescent="0.25">
      <c r="A9" s="439" t="s">
        <v>128</v>
      </c>
      <c r="B9" s="439"/>
      <c r="C9" s="439"/>
      <c r="D9" s="439"/>
      <c r="E9" s="370">
        <f>SUM(E2:E8)</f>
        <v>177066640.95000002</v>
      </c>
      <c r="F9" s="371">
        <f>SUM(F2:F8)</f>
        <v>169997127.78999999</v>
      </c>
      <c r="G9" s="371">
        <f>$E$9-F9</f>
        <v>7069513.1600000262</v>
      </c>
      <c r="H9" s="371">
        <f>SUM(H2:H8)</f>
        <v>174683744</v>
      </c>
      <c r="I9" s="371">
        <f>$E$9-H9</f>
        <v>2382896.9500000179</v>
      </c>
      <c r="J9" s="371">
        <f>SUM(J2:J8)</f>
        <v>173326438.51999998</v>
      </c>
      <c r="K9" s="371">
        <f>$E$9-J9</f>
        <v>3740202.430000037</v>
      </c>
      <c r="L9" s="371">
        <f>SUM(L2:L8)</f>
        <v>177066638.5652</v>
      </c>
      <c r="M9" s="371">
        <f>$E$9-L9</f>
        <v>2.3848000168800354</v>
      </c>
      <c r="N9" s="371">
        <f>SUM(N2:N8)</f>
        <v>173171250.02999997</v>
      </c>
      <c r="O9" s="371">
        <f>$E$9-N9</f>
        <v>3895390.9200000465</v>
      </c>
      <c r="P9" s="369">
        <f>SUM(P2:P8)</f>
        <v>0</v>
      </c>
      <c r="Q9" s="369">
        <f>$E$9-P9</f>
        <v>177066640.95000002</v>
      </c>
      <c r="R9" s="371">
        <f>SUM(R2:R8)</f>
        <v>175295974.58999997</v>
      </c>
      <c r="S9" s="371">
        <f>$E$9-R9</f>
        <v>1770666.3600000441</v>
      </c>
      <c r="T9" s="371">
        <f>SUM(T2:T8)</f>
        <v>172542509</v>
      </c>
      <c r="U9" s="371">
        <f>$E$9-T9</f>
        <v>4524131.9500000179</v>
      </c>
      <c r="V9" s="370">
        <f>SUM(V2:V8)</f>
        <v>177066640.95000002</v>
      </c>
      <c r="W9" s="371">
        <f>SUM(W2:W8)</f>
        <v>173012044.53</v>
      </c>
      <c r="X9" s="371">
        <f>$E$9-W9</f>
        <v>4054596.4200000167</v>
      </c>
      <c r="Y9" s="369">
        <f>SUM(Y2:Y8)</f>
        <v>0</v>
      </c>
      <c r="Z9" s="369">
        <f>$E$9-Y9</f>
        <v>177066640.95000002</v>
      </c>
    </row>
    <row r="10" spans="1:26" x14ac:dyDescent="0.25">
      <c r="A10" s="440" t="s">
        <v>136</v>
      </c>
      <c r="B10" s="440"/>
      <c r="C10" s="440"/>
      <c r="D10" s="7">
        <v>0.2</v>
      </c>
      <c r="E10" s="367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9"/>
      <c r="Q10" s="369"/>
      <c r="R10" s="368"/>
      <c r="S10" s="368"/>
      <c r="T10" s="368"/>
      <c r="U10" s="368"/>
      <c r="V10" s="367"/>
      <c r="W10" s="368"/>
      <c r="X10" s="368"/>
      <c r="Y10" s="369"/>
      <c r="Z10" s="369"/>
    </row>
    <row r="11" spans="1:26" x14ac:dyDescent="0.25">
      <c r="A11" s="8"/>
      <c r="B11" s="8" t="s">
        <v>134</v>
      </c>
      <c r="C11" s="8"/>
      <c r="D11" s="9">
        <v>0.13</v>
      </c>
      <c r="E11" s="367">
        <v>23018663.323500004</v>
      </c>
      <c r="F11" s="368">
        <f>(F9*D11)</f>
        <v>22099626.6127</v>
      </c>
      <c r="G11" s="368">
        <f>$E$11-F11</f>
        <v>919036.71080000326</v>
      </c>
      <c r="H11" s="368">
        <f>H9*$D$11</f>
        <v>22708886.720000003</v>
      </c>
      <c r="I11" s="368">
        <f>$E$11-H11</f>
        <v>309776.60350000113</v>
      </c>
      <c r="J11" s="368">
        <f>J9*D11</f>
        <v>22532437.007599998</v>
      </c>
      <c r="K11" s="368">
        <f>$E$11-J11</f>
        <v>486226.3159000054</v>
      </c>
      <c r="L11" s="368">
        <f>L9*18%</f>
        <v>31871994.941735998</v>
      </c>
      <c r="M11" s="368">
        <f>$E$11-L11</f>
        <v>-8853331.6182359941</v>
      </c>
      <c r="N11" s="368">
        <f>N9*D11</f>
        <v>22512262.503899995</v>
      </c>
      <c r="O11" s="368">
        <f>$E$11-N11</f>
        <v>506400.81960000843</v>
      </c>
      <c r="P11" s="369">
        <f>P9*D11</f>
        <v>0</v>
      </c>
      <c r="Q11" s="369">
        <f>$E$11-P11</f>
        <v>23018663.323500004</v>
      </c>
      <c r="R11" s="368">
        <f>R9*D11</f>
        <v>22788476.696699996</v>
      </c>
      <c r="S11" s="368">
        <f>$E$11-R11</f>
        <v>230186.62680000812</v>
      </c>
      <c r="T11" s="368">
        <f>T9*D11</f>
        <v>22430526.170000002</v>
      </c>
      <c r="U11" s="368">
        <f>$E$11-T11</f>
        <v>588137.15350000188</v>
      </c>
      <c r="V11" s="367">
        <v>23018663.323500004</v>
      </c>
      <c r="W11" s="368">
        <f>W9*D11</f>
        <v>22491565.788899999</v>
      </c>
      <c r="X11" s="368">
        <f>$E$11-W11</f>
        <v>527097.53460000455</v>
      </c>
      <c r="Y11" s="369">
        <f>Y9*D11</f>
        <v>0</v>
      </c>
      <c r="Z11" s="369">
        <f>$E$11-Y11</f>
        <v>23018663.323500004</v>
      </c>
    </row>
    <row r="12" spans="1:26" x14ac:dyDescent="0.25">
      <c r="A12" s="8"/>
      <c r="B12" s="8" t="s">
        <v>132</v>
      </c>
      <c r="C12" s="8"/>
      <c r="D12" s="7">
        <v>0.02</v>
      </c>
      <c r="E12" s="367">
        <v>3541332.8190000006</v>
      </c>
      <c r="F12" s="368">
        <f>F9*D12</f>
        <v>3399942.5557999997</v>
      </c>
      <c r="G12" s="368">
        <f>$E$12-F12</f>
        <v>141390.26320000086</v>
      </c>
      <c r="H12" s="368">
        <f>H9*$D$12</f>
        <v>3493674.88</v>
      </c>
      <c r="I12" s="368">
        <f>$E$12-H12</f>
        <v>47657.939000000712</v>
      </c>
      <c r="J12" s="368">
        <f>J9*D12</f>
        <v>3466528.7703999998</v>
      </c>
      <c r="K12" s="368">
        <f>$E$12-J12</f>
        <v>74804.048600000795</v>
      </c>
      <c r="L12" s="368">
        <f>L9*0.05%</f>
        <v>88533.319282600001</v>
      </c>
      <c r="M12" s="368">
        <f>$E$12-L12</f>
        <v>3452799.4997174004</v>
      </c>
      <c r="N12" s="368">
        <f>N9*D12</f>
        <v>3463425.0005999994</v>
      </c>
      <c r="O12" s="368">
        <f>$E$12-N12</f>
        <v>77907.818400001153</v>
      </c>
      <c r="P12" s="369">
        <f>P9*D12</f>
        <v>0</v>
      </c>
      <c r="Q12" s="369">
        <f>$E$12-P12</f>
        <v>3541332.8190000006</v>
      </c>
      <c r="R12" s="368">
        <f>R9*D12</f>
        <v>3505919.4917999995</v>
      </c>
      <c r="S12" s="368">
        <f>$E$12-R12</f>
        <v>35413.327200001106</v>
      </c>
      <c r="T12" s="368">
        <f>T9*D12</f>
        <v>3450850.18</v>
      </c>
      <c r="U12" s="368">
        <f>$E$12-T12</f>
        <v>90482.639000000432</v>
      </c>
      <c r="V12" s="367">
        <v>3541332.8190000006</v>
      </c>
      <c r="W12" s="368">
        <f>W9*D12</f>
        <v>3460240.8906</v>
      </c>
      <c r="X12" s="368">
        <f>$E$12-W12</f>
        <v>81091.928400000557</v>
      </c>
      <c r="Y12" s="369">
        <f>Y9*D12</f>
        <v>0</v>
      </c>
      <c r="Z12" s="369">
        <f>$E$12-Y12</f>
        <v>3541332.8190000006</v>
      </c>
    </row>
    <row r="13" spans="1:26" x14ac:dyDescent="0.25">
      <c r="A13" s="8"/>
      <c r="B13" s="8" t="s">
        <v>133</v>
      </c>
      <c r="C13" s="8"/>
      <c r="D13" s="7">
        <v>0.05</v>
      </c>
      <c r="E13" s="367">
        <v>8853332.0475000013</v>
      </c>
      <c r="F13" s="368">
        <f>F9*D13</f>
        <v>8499856.3894999996</v>
      </c>
      <c r="G13" s="368">
        <f>$E$13-F13</f>
        <v>353475.65800000168</v>
      </c>
      <c r="H13" s="368">
        <f>H9*$D$13</f>
        <v>8734187.2000000011</v>
      </c>
      <c r="I13" s="368">
        <f>$E$13-H13</f>
        <v>119144.84750000015</v>
      </c>
      <c r="J13" s="368">
        <f>J9*D13</f>
        <v>8666321.925999999</v>
      </c>
      <c r="K13" s="368">
        <f>$E$13-J13</f>
        <v>187010.12150000222</v>
      </c>
      <c r="L13" s="368">
        <f>L9*1.9%</f>
        <v>3364266.1327387998</v>
      </c>
      <c r="M13" s="368">
        <f>$E$13-L13</f>
        <v>5489065.9147612015</v>
      </c>
      <c r="N13" s="368">
        <f>N9*D13</f>
        <v>8658562.5014999993</v>
      </c>
      <c r="O13" s="368">
        <f>$E$13-N13</f>
        <v>194769.54600000195</v>
      </c>
      <c r="P13" s="369">
        <f>P9*D13</f>
        <v>0</v>
      </c>
      <c r="Q13" s="369">
        <f>$E$13-P13</f>
        <v>8853332.0475000013</v>
      </c>
      <c r="R13" s="368">
        <f>R9*D13</f>
        <v>8764798.7294999994</v>
      </c>
      <c r="S13" s="368">
        <f>$E$13-R13</f>
        <v>88533.318000001833</v>
      </c>
      <c r="T13" s="368">
        <f>T9*D13</f>
        <v>8627125.4500000011</v>
      </c>
      <c r="U13" s="368">
        <f>$E$13-T13</f>
        <v>226206.59750000015</v>
      </c>
      <c r="V13" s="367">
        <v>8853332.0475000013</v>
      </c>
      <c r="W13" s="368">
        <f>W9*D13</f>
        <v>8650602.2265000008</v>
      </c>
      <c r="X13" s="368">
        <f>$E$13-W13</f>
        <v>202729.82100000046</v>
      </c>
      <c r="Y13" s="369">
        <f>Y9*D13</f>
        <v>0</v>
      </c>
      <c r="Z13" s="369">
        <f>$E$13-Y13</f>
        <v>8853332.0475000013</v>
      </c>
    </row>
    <row r="14" spans="1:26" x14ac:dyDescent="0.25">
      <c r="A14" s="8"/>
      <c r="B14" s="8" t="s">
        <v>135</v>
      </c>
      <c r="C14" s="8"/>
      <c r="D14" s="7">
        <v>0.19</v>
      </c>
      <c r="E14" s="367">
        <v>1682133.0890250003</v>
      </c>
      <c r="F14" s="368">
        <f>F13*D14</f>
        <v>1614972.714005</v>
      </c>
      <c r="G14" s="368">
        <f>$E$14-F14</f>
        <v>67160.375020000385</v>
      </c>
      <c r="H14" s="368">
        <f>H13*$D$14</f>
        <v>1659495.5680000002</v>
      </c>
      <c r="I14" s="368">
        <f>$E$14-H14</f>
        <v>22637.52102500014</v>
      </c>
      <c r="J14" s="368">
        <f>J13*D14</f>
        <v>1646601.1659399997</v>
      </c>
      <c r="K14" s="368">
        <f>$E$14-J14</f>
        <v>35531.923085000599</v>
      </c>
      <c r="L14" s="368">
        <f>L13*D14</f>
        <v>639210.56522037194</v>
      </c>
      <c r="M14" s="368">
        <f>$E$14-L14</f>
        <v>1042922.5238046284</v>
      </c>
      <c r="N14" s="368">
        <f>N13*D14</f>
        <v>1645126.8752849998</v>
      </c>
      <c r="O14" s="368">
        <f>$E$14-N14</f>
        <v>37006.213740000501</v>
      </c>
      <c r="P14" s="369">
        <f>P13*D14</f>
        <v>0</v>
      </c>
      <c r="Q14" s="369">
        <f>$E$14-P14</f>
        <v>1682133.0890250003</v>
      </c>
      <c r="R14" s="368">
        <f>R13*D14</f>
        <v>1665311.7586049999</v>
      </c>
      <c r="S14" s="368">
        <f>$E$14-R14</f>
        <v>16821.330420000479</v>
      </c>
      <c r="T14" s="368">
        <f>T13*D14</f>
        <v>1639153.8355000003</v>
      </c>
      <c r="U14" s="368">
        <f>$E$14-T14</f>
        <v>42979.253525000066</v>
      </c>
      <c r="V14" s="367">
        <v>1682133.0890250003</v>
      </c>
      <c r="W14" s="368">
        <f>W13*D14</f>
        <v>1643614.4230350002</v>
      </c>
      <c r="X14" s="368">
        <f>$E$14-W14</f>
        <v>38518.665990000125</v>
      </c>
      <c r="Y14" s="369">
        <f>Y13*D14</f>
        <v>0</v>
      </c>
      <c r="Z14" s="369">
        <f>$E$14-Y14</f>
        <v>1682133.0890250003</v>
      </c>
    </row>
    <row r="15" spans="1:26" s="16" customFormat="1" x14ac:dyDescent="0.25">
      <c r="A15" s="13"/>
      <c r="B15" s="439" t="s">
        <v>129</v>
      </c>
      <c r="C15" s="439"/>
      <c r="D15" s="439"/>
      <c r="E15" s="370">
        <f>SUM(E11:E14)</f>
        <v>37095461.279025003</v>
      </c>
      <c r="F15" s="371">
        <f>SUM(F11:F14)</f>
        <v>35614398.272004999</v>
      </c>
      <c r="G15" s="371">
        <f>$E$15-F15</f>
        <v>1481063.0070200041</v>
      </c>
      <c r="H15" s="371">
        <f>SUM(H11:H14)</f>
        <v>36596244.368000008</v>
      </c>
      <c r="I15" s="371">
        <f>$E$15-H15</f>
        <v>499216.91102499515</v>
      </c>
      <c r="J15" s="371">
        <f>SUM(J11:J14)</f>
        <v>36311888.869939998</v>
      </c>
      <c r="K15" s="371">
        <f>$E$15-J15</f>
        <v>783572.40908500552</v>
      </c>
      <c r="L15" s="371">
        <f>SUM(L11:L14)</f>
        <v>35964004.958977766</v>
      </c>
      <c r="M15" s="371">
        <f>$E$15-L15</f>
        <v>1131456.320047237</v>
      </c>
      <c r="N15" s="371">
        <f>SUM(N11:N14)</f>
        <v>36279376.881284997</v>
      </c>
      <c r="O15" s="371">
        <f>$E$15-N15</f>
        <v>816084.39774000645</v>
      </c>
      <c r="P15" s="369">
        <f>SUM(P11:P14)</f>
        <v>0</v>
      </c>
      <c r="Q15" s="369">
        <f>$E$15-P15</f>
        <v>37095461.279025003</v>
      </c>
      <c r="R15" s="371">
        <f>SUM(R11:R14)</f>
        <v>36724506.676605001</v>
      </c>
      <c r="S15" s="371">
        <f>$E$15-R15</f>
        <v>370954.60242000222</v>
      </c>
      <c r="T15" s="371">
        <f>SUM(T11:T14)</f>
        <v>36147655.635500006</v>
      </c>
      <c r="U15" s="371">
        <f>$E$15-T15</f>
        <v>947805.64352499694</v>
      </c>
      <c r="V15" s="370">
        <f>SUM(V11:V14)</f>
        <v>37095461.279025003</v>
      </c>
      <c r="W15" s="371">
        <f>SUM(W11:W14)</f>
        <v>36246023.329035006</v>
      </c>
      <c r="X15" s="371">
        <f>$E$15-W15</f>
        <v>849437.94998999685</v>
      </c>
      <c r="Y15" s="369">
        <f>SUM(Y11:Y14)</f>
        <v>0</v>
      </c>
      <c r="Z15" s="369">
        <f>$E$15-Y15</f>
        <v>37095461.279025003</v>
      </c>
    </row>
    <row r="16" spans="1:26" s="17" customFormat="1" ht="16.5" x14ac:dyDescent="0.25">
      <c r="A16" s="441" t="s">
        <v>130</v>
      </c>
      <c r="B16" s="441"/>
      <c r="C16" s="441"/>
      <c r="D16" s="441"/>
      <c r="E16" s="372">
        <f>E9+E15</f>
        <v>214162102.22902501</v>
      </c>
      <c r="F16" s="373">
        <f>F9+F15</f>
        <v>205611526.06200498</v>
      </c>
      <c r="G16" s="373">
        <f>$E$16-F16</f>
        <v>8550576.1670200229</v>
      </c>
      <c r="H16" s="373">
        <f>H9+H15</f>
        <v>211279988.368</v>
      </c>
      <c r="I16" s="373">
        <f>$E$16-H16</f>
        <v>2882113.8610250056</v>
      </c>
      <c r="J16" s="373">
        <f>J9+J15</f>
        <v>209638327.38993996</v>
      </c>
      <c r="K16" s="373">
        <f>$E$16-J16</f>
        <v>4523774.8390850425</v>
      </c>
      <c r="L16" s="373">
        <f>L9+L15</f>
        <v>213030643.52417776</v>
      </c>
      <c r="M16" s="373">
        <f>$E$16-L16</f>
        <v>1131458.7048472464</v>
      </c>
      <c r="N16" s="373">
        <f>N9+N15</f>
        <v>209450626.91128498</v>
      </c>
      <c r="O16" s="373">
        <f>$E$16-N16</f>
        <v>4711475.3177400231</v>
      </c>
      <c r="P16" s="369">
        <f>P9+P15</f>
        <v>0</v>
      </c>
      <c r="Q16" s="369">
        <f>$E$16-P16</f>
        <v>214162102.22902501</v>
      </c>
      <c r="R16" s="373">
        <f>R9+R15</f>
        <v>212020481.26660496</v>
      </c>
      <c r="S16" s="373">
        <f>$E$16-R16</f>
        <v>2141620.9624200463</v>
      </c>
      <c r="T16" s="373">
        <f>T9+T15</f>
        <v>208690164.63550001</v>
      </c>
      <c r="U16" s="373">
        <f>$E$16-T16</f>
        <v>5471937.5935249925</v>
      </c>
      <c r="V16" s="372">
        <f>V9+V15</f>
        <v>214162102.22902501</v>
      </c>
      <c r="W16" s="373">
        <f>W9+W15</f>
        <v>209258067.85903502</v>
      </c>
      <c r="X16" s="373">
        <f>$E$16-W16</f>
        <v>4904034.3699899912</v>
      </c>
      <c r="Y16" s="369">
        <f>Y9+Y15</f>
        <v>0</v>
      </c>
      <c r="Z16" s="369">
        <f>$E$16-Y16</f>
        <v>214162102.22902501</v>
      </c>
    </row>
    <row r="19" spans="1:26" ht="40.5" x14ac:dyDescent="0.25">
      <c r="A19" s="11" t="s">
        <v>127</v>
      </c>
      <c r="B19" s="12" t="s">
        <v>7</v>
      </c>
      <c r="C19" s="12" t="s">
        <v>4</v>
      </c>
      <c r="D19" s="12" t="s">
        <v>138</v>
      </c>
      <c r="E19" s="364" t="s">
        <v>137</v>
      </c>
      <c r="F19" s="365" t="str">
        <f>F1</f>
        <v>CONS.BOLIVAR</v>
      </c>
      <c r="G19" s="365" t="s">
        <v>271</v>
      </c>
      <c r="H19" s="365" t="str">
        <f>H1</f>
        <v>CONSORCIO C Y C MANTENIMIENTO 2023</v>
      </c>
      <c r="I19" s="365" t="s">
        <v>271</v>
      </c>
      <c r="J19" s="365" t="str">
        <f>J1</f>
        <v>DIARQCO CONSTRUCTORES SAS</v>
      </c>
      <c r="K19" s="365" t="s">
        <v>271</v>
      </c>
      <c r="L19" s="365" t="str">
        <f>L1</f>
        <v>CONSORCIO DN-LF</v>
      </c>
      <c r="M19" s="365" t="s">
        <v>271</v>
      </c>
      <c r="N19" s="365" t="str">
        <f>N1</f>
        <v>RICARDO ROJAS</v>
      </c>
      <c r="O19" s="365" t="s">
        <v>271</v>
      </c>
      <c r="P19" s="366">
        <f>P1</f>
        <v>16</v>
      </c>
      <c r="Q19" s="366" t="s">
        <v>271</v>
      </c>
      <c r="R19" s="365" t="str">
        <f>R1</f>
        <v>C MANTENIMIENTO FGN 2023</v>
      </c>
      <c r="S19" s="365" t="s">
        <v>271</v>
      </c>
      <c r="T19" s="365" t="str">
        <f>T1</f>
        <v>SIINCO S.A.S</v>
      </c>
      <c r="U19" s="365" t="s">
        <v>271</v>
      </c>
      <c r="V19" s="364" t="s">
        <v>137</v>
      </c>
      <c r="W19" s="365" t="str">
        <f>W1</f>
        <v>GRUPO TITANIUM S.A.S.</v>
      </c>
      <c r="X19" s="365" t="s">
        <v>271</v>
      </c>
      <c r="Y19" s="366">
        <f>Y1</f>
        <v>20</v>
      </c>
      <c r="Z19" s="366" t="s">
        <v>271</v>
      </c>
    </row>
    <row r="20" spans="1:26" x14ac:dyDescent="0.25">
      <c r="A20" s="216">
        <v>1</v>
      </c>
      <c r="B20" s="5" t="s">
        <v>163</v>
      </c>
      <c r="C20" s="6" t="s">
        <v>4</v>
      </c>
      <c r="D20" s="3">
        <v>1</v>
      </c>
      <c r="E20" s="367">
        <v>1735185.7000000002</v>
      </c>
      <c r="F20" s="368">
        <v>1688335.69</v>
      </c>
      <c r="G20" s="368">
        <f>$E$20-F20</f>
        <v>46850.010000000242</v>
      </c>
      <c r="H20" s="368">
        <v>1735189</v>
      </c>
      <c r="I20" s="368">
        <f>$E$20-H20</f>
        <v>-3.2999999998137355</v>
      </c>
      <c r="J20" s="368">
        <v>1698539</v>
      </c>
      <c r="K20" s="368">
        <f>$E$20-J20</f>
        <v>36646.700000000186</v>
      </c>
      <c r="L20" s="368">
        <v>1735189</v>
      </c>
      <c r="M20" s="368">
        <f>$E$20-L20</f>
        <v>-3.2999999998137355</v>
      </c>
      <c r="N20" s="368">
        <v>1711765</v>
      </c>
      <c r="O20" s="368">
        <f>$E$20-N20</f>
        <v>23420.700000000186</v>
      </c>
      <c r="P20" s="369"/>
      <c r="Q20" s="369">
        <f>$E$20-P20</f>
        <v>1735185.7000000002</v>
      </c>
      <c r="R20" s="368">
        <v>1690074.0859999999</v>
      </c>
      <c r="S20" s="368">
        <f>$E$20-R20</f>
        <v>45111.614000000292</v>
      </c>
      <c r="T20" s="368">
        <v>1690854</v>
      </c>
      <c r="U20" s="368">
        <f>$E$20-T20</f>
        <v>44331.700000000186</v>
      </c>
      <c r="V20" s="367">
        <v>1735185.7000000002</v>
      </c>
      <c r="W20" s="368">
        <v>1694063</v>
      </c>
      <c r="X20" s="368">
        <f>$E$20-W20</f>
        <v>41122.700000000186</v>
      </c>
      <c r="Y20" s="369"/>
      <c r="Z20" s="369">
        <f>$E$20-Y20</f>
        <v>1735185.7000000002</v>
      </c>
    </row>
    <row r="21" spans="1:26" x14ac:dyDescent="0.25">
      <c r="A21" s="216">
        <v>2</v>
      </c>
      <c r="B21" s="5" t="s">
        <v>164</v>
      </c>
      <c r="C21" s="6" t="s">
        <v>4</v>
      </c>
      <c r="D21" s="3">
        <v>1</v>
      </c>
      <c r="E21" s="367">
        <v>2304172.5</v>
      </c>
      <c r="F21" s="368">
        <v>2241959.84</v>
      </c>
      <c r="G21" s="368">
        <f>$E$21-F21</f>
        <v>62212.660000000149</v>
      </c>
      <c r="H21" s="368">
        <v>2304173</v>
      </c>
      <c r="I21" s="368">
        <f>$E$21-H21</f>
        <v>-0.5</v>
      </c>
      <c r="J21" s="368">
        <v>2255501</v>
      </c>
      <c r="K21" s="368">
        <f>$E$21-J21</f>
        <v>48671.5</v>
      </c>
      <c r="L21" s="368">
        <v>2304173</v>
      </c>
      <c r="M21" s="368">
        <f>$E$21-L21</f>
        <v>-0.5</v>
      </c>
      <c r="N21" s="368">
        <v>2273066</v>
      </c>
      <c r="O21" s="368">
        <f>$E$21-N21</f>
        <v>31106.5</v>
      </c>
      <c r="P21" s="369"/>
      <c r="Q21" s="369">
        <f>$E$21-P21</f>
        <v>2304172.5</v>
      </c>
      <c r="R21" s="368">
        <v>2244264.5019999999</v>
      </c>
      <c r="S21" s="368">
        <f>$E$21-R21</f>
        <v>59907.998000000138</v>
      </c>
      <c r="T21" s="368">
        <v>2245301</v>
      </c>
      <c r="U21" s="368">
        <f>$E$21-T21</f>
        <v>58871.5</v>
      </c>
      <c r="V21" s="367">
        <v>2304172.5</v>
      </c>
      <c r="W21" s="368">
        <v>2249565</v>
      </c>
      <c r="X21" s="368">
        <f>$E$21-W21</f>
        <v>54607.5</v>
      </c>
      <c r="Y21" s="369"/>
      <c r="Z21" s="369">
        <f>$E$21-Y21</f>
        <v>2304172.5</v>
      </c>
    </row>
    <row r="22" spans="1:26" x14ac:dyDescent="0.25">
      <c r="A22" s="216">
        <v>3</v>
      </c>
      <c r="B22" s="5" t="s">
        <v>167</v>
      </c>
      <c r="C22" s="6" t="s">
        <v>4</v>
      </c>
      <c r="D22" s="3">
        <v>1</v>
      </c>
      <c r="E22" s="367">
        <v>154385.60000000001</v>
      </c>
      <c r="F22" s="368">
        <v>150217.19</v>
      </c>
      <c r="G22" s="368">
        <f>$E$22-F22</f>
        <v>4168.4100000000035</v>
      </c>
      <c r="H22" s="368">
        <v>154385</v>
      </c>
      <c r="I22" s="368">
        <f>$E$22-H22</f>
        <v>0.60000000000582077</v>
      </c>
      <c r="J22" s="368">
        <v>151124</v>
      </c>
      <c r="K22" s="368">
        <f>$E$22-J22</f>
        <v>3261.6000000000058</v>
      </c>
      <c r="L22" s="368">
        <v>154385</v>
      </c>
      <c r="M22" s="368">
        <f>$E$22-L22</f>
        <v>0.60000000000582077</v>
      </c>
      <c r="N22" s="368">
        <v>152300</v>
      </c>
      <c r="O22" s="368">
        <f>$E$22-N22</f>
        <v>2085.6000000000058</v>
      </c>
      <c r="P22" s="369"/>
      <c r="Q22" s="369">
        <f>$E$22-P22</f>
        <v>154385.60000000001</v>
      </c>
      <c r="R22" s="368">
        <v>150370.99</v>
      </c>
      <c r="S22" s="368">
        <f>$E$22-R22</f>
        <v>4014.6100000000151</v>
      </c>
      <c r="T22" s="368">
        <v>150441</v>
      </c>
      <c r="U22" s="368">
        <f>$E$22-T22</f>
        <v>3944.6000000000058</v>
      </c>
      <c r="V22" s="367">
        <v>154385.60000000001</v>
      </c>
      <c r="W22" s="368">
        <v>150726</v>
      </c>
      <c r="X22" s="368">
        <f>$E$22-W22</f>
        <v>3659.6000000000058</v>
      </c>
      <c r="Y22" s="369"/>
      <c r="Z22" s="369">
        <f>$E$22-Y22</f>
        <v>154385.60000000001</v>
      </c>
    </row>
    <row r="23" spans="1:26" x14ac:dyDescent="0.25">
      <c r="A23" s="216">
        <v>4</v>
      </c>
      <c r="B23" s="5" t="s">
        <v>169</v>
      </c>
      <c r="C23" s="6" t="s">
        <v>4</v>
      </c>
      <c r="D23" s="3">
        <v>1</v>
      </c>
      <c r="E23" s="367">
        <v>170031.065</v>
      </c>
      <c r="F23" s="368">
        <v>165440.23000000001</v>
      </c>
      <c r="G23" s="368">
        <f>$E$23-F23</f>
        <v>4590.8349999999919</v>
      </c>
      <c r="H23" s="368">
        <v>170031</v>
      </c>
      <c r="I23" s="368">
        <f>$E$23-H23</f>
        <v>6.5000000002328306E-2</v>
      </c>
      <c r="J23" s="368">
        <v>166439</v>
      </c>
      <c r="K23" s="368">
        <f>$E$23-J23</f>
        <v>3592.0650000000023</v>
      </c>
      <c r="L23" s="368">
        <v>170031</v>
      </c>
      <c r="M23" s="368">
        <f>$E$23-L23</f>
        <v>6.5000000002328306E-2</v>
      </c>
      <c r="N23" s="368">
        <v>167735</v>
      </c>
      <c r="O23" s="368">
        <f>$E$23-N23</f>
        <v>2296.0650000000023</v>
      </c>
      <c r="P23" s="369"/>
      <c r="Q23" s="369">
        <f>$E$23-P23</f>
        <v>170031.065</v>
      </c>
      <c r="R23" s="368">
        <v>165610.19399999999</v>
      </c>
      <c r="S23" s="368">
        <f>$E$23-R23</f>
        <v>4420.8710000000137</v>
      </c>
      <c r="T23" s="368">
        <v>165687</v>
      </c>
      <c r="U23" s="368">
        <f>$E$23-T23</f>
        <v>4344.0650000000023</v>
      </c>
      <c r="V23" s="367">
        <v>170031.065</v>
      </c>
      <c r="W23" s="368">
        <v>166001</v>
      </c>
      <c r="X23" s="368">
        <f>$E$23-W23</f>
        <v>4030.0650000000023</v>
      </c>
      <c r="Y23" s="369"/>
      <c r="Z23" s="369">
        <f>$E$23-Y23</f>
        <v>170031.065</v>
      </c>
    </row>
    <row r="24" spans="1:26" x14ac:dyDescent="0.25">
      <c r="A24" s="216">
        <v>5</v>
      </c>
      <c r="B24" s="5" t="s">
        <v>185</v>
      </c>
      <c r="C24" s="6" t="s">
        <v>4</v>
      </c>
      <c r="D24" s="3">
        <v>1</v>
      </c>
      <c r="E24" s="367">
        <v>2993035.75</v>
      </c>
      <c r="F24" s="368">
        <v>2912223.78</v>
      </c>
      <c r="G24" s="368">
        <f>$E$24-F24</f>
        <v>80811.970000000205</v>
      </c>
      <c r="H24" s="368">
        <v>2993038</v>
      </c>
      <c r="I24" s="368">
        <f>$E$24-H24</f>
        <v>-2.25</v>
      </c>
      <c r="J24" s="368">
        <v>2929819</v>
      </c>
      <c r="K24" s="368">
        <f>$E$24-J24</f>
        <v>63216.75</v>
      </c>
      <c r="L24" s="368">
        <v>2993038</v>
      </c>
      <c r="M24" s="368">
        <f>$E$24-L24</f>
        <v>-2.25</v>
      </c>
      <c r="N24" s="368">
        <v>2952633</v>
      </c>
      <c r="O24" s="368">
        <f>$E$24-N24</f>
        <v>40402.75</v>
      </c>
      <c r="P24" s="369"/>
      <c r="Q24" s="369">
        <f>$E$24-P24</f>
        <v>2993035.75</v>
      </c>
      <c r="R24" s="368">
        <v>2915219.0119999996</v>
      </c>
      <c r="S24" s="368">
        <f>$E$24-R24</f>
        <v>77816.738000000361</v>
      </c>
      <c r="T24" s="368">
        <v>2916563</v>
      </c>
      <c r="U24" s="368">
        <f>$E$24-T24</f>
        <v>76472.75</v>
      </c>
      <c r="V24" s="367">
        <v>2993035.75</v>
      </c>
      <c r="W24" s="368">
        <v>2922101</v>
      </c>
      <c r="X24" s="368">
        <f>$E$24-W24</f>
        <v>70934.75</v>
      </c>
      <c r="Y24" s="369"/>
      <c r="Z24" s="369">
        <f>$E$24-Y24</f>
        <v>2993035.75</v>
      </c>
    </row>
    <row r="25" spans="1:26" ht="27" x14ac:dyDescent="0.25">
      <c r="A25" s="216">
        <v>6</v>
      </c>
      <c r="B25" s="5" t="s">
        <v>201</v>
      </c>
      <c r="C25" s="6" t="s">
        <v>4</v>
      </c>
      <c r="D25" s="3">
        <v>1</v>
      </c>
      <c r="E25" s="367">
        <v>8807702.4499999993</v>
      </c>
      <c r="F25" s="368">
        <v>8569894.4800000004</v>
      </c>
      <c r="G25" s="368">
        <f>$E$25-F25</f>
        <v>237807.96999999881</v>
      </c>
      <c r="H25" s="368">
        <v>8807705</v>
      </c>
      <c r="I25" s="368">
        <f>$E$25-H25</f>
        <v>-2.5500000007450581</v>
      </c>
      <c r="J25" s="368">
        <v>8621663</v>
      </c>
      <c r="K25" s="368">
        <f>$E$25-J25</f>
        <v>186039.44999999925</v>
      </c>
      <c r="L25" s="368">
        <v>8807705</v>
      </c>
      <c r="M25" s="368">
        <f>$E$25-L25</f>
        <v>-2.5500000007450581</v>
      </c>
      <c r="N25" s="368">
        <v>8688802</v>
      </c>
      <c r="O25" s="368">
        <f>$E$25-N25</f>
        <v>118900.44999999925</v>
      </c>
      <c r="P25" s="369"/>
      <c r="Q25" s="369">
        <f>$E$25-P25</f>
        <v>8807702.4499999993</v>
      </c>
      <c r="R25" s="368">
        <v>8578704.6699999999</v>
      </c>
      <c r="S25" s="368">
        <f>$E$25-R25</f>
        <v>228997.77999999933</v>
      </c>
      <c r="T25" s="368">
        <v>8582671</v>
      </c>
      <c r="U25" s="368">
        <f>$E$25-T25</f>
        <v>225031.44999999925</v>
      </c>
      <c r="V25" s="367">
        <v>8807702.4499999993</v>
      </c>
      <c r="W25" s="368">
        <v>8598962</v>
      </c>
      <c r="X25" s="368">
        <f>$E$25-W25</f>
        <v>208740.44999999925</v>
      </c>
      <c r="Y25" s="369"/>
      <c r="Z25" s="369">
        <f>$E$25-Y25</f>
        <v>8807702.4499999993</v>
      </c>
    </row>
    <row r="26" spans="1:26" ht="27" x14ac:dyDescent="0.25">
      <c r="A26" s="216">
        <v>7</v>
      </c>
      <c r="B26" s="5" t="s">
        <v>367</v>
      </c>
      <c r="C26" s="6" t="s">
        <v>4</v>
      </c>
      <c r="D26" s="3">
        <v>1</v>
      </c>
      <c r="E26" s="367">
        <v>1620701.3000000003</v>
      </c>
      <c r="F26" s="368">
        <v>1576942.36</v>
      </c>
      <c r="G26" s="368">
        <f>$E$26-F26</f>
        <v>43758.940000000177</v>
      </c>
      <c r="H26" s="368">
        <v>1620701</v>
      </c>
      <c r="I26" s="368">
        <f>$E$26-H26</f>
        <v>0.30000000027939677</v>
      </c>
      <c r="J26" s="368">
        <v>1586467</v>
      </c>
      <c r="K26" s="368">
        <f>$E$26-J26</f>
        <v>34234.300000000279</v>
      </c>
      <c r="L26" s="368">
        <v>1620701</v>
      </c>
      <c r="M26" s="368">
        <f>$E$26-L26</f>
        <v>0.30000000027939677</v>
      </c>
      <c r="N26" s="368">
        <v>1598821</v>
      </c>
      <c r="O26" s="368">
        <f>$E$26-N26</f>
        <v>21880.300000000279</v>
      </c>
      <c r="P26" s="369"/>
      <c r="Q26" s="369">
        <f>$E$26-P26</f>
        <v>1620701.3000000003</v>
      </c>
      <c r="R26" s="368">
        <v>1578562.7740000004</v>
      </c>
      <c r="S26" s="368">
        <f>$E$26-R26</f>
        <v>42138.525999999838</v>
      </c>
      <c r="T26" s="368">
        <v>1579294</v>
      </c>
      <c r="U26" s="368">
        <f>$E$26-T26</f>
        <v>41407.300000000279</v>
      </c>
      <c r="V26" s="367">
        <v>1620701.3</v>
      </c>
      <c r="W26" s="368">
        <v>1582289</v>
      </c>
      <c r="X26" s="368">
        <f>$E$26-W26</f>
        <v>38412.300000000279</v>
      </c>
      <c r="Y26" s="369"/>
      <c r="Z26" s="369">
        <f>$E$26-Y26</f>
        <v>1620701.3000000003</v>
      </c>
    </row>
    <row r="27" spans="1:26" x14ac:dyDescent="0.25">
      <c r="A27" s="216">
        <v>8</v>
      </c>
      <c r="B27" s="4" t="s">
        <v>216</v>
      </c>
      <c r="C27" s="6" t="s">
        <v>4</v>
      </c>
      <c r="D27" s="3">
        <v>1</v>
      </c>
      <c r="E27" s="367">
        <v>892909.04999999993</v>
      </c>
      <c r="F27" s="368">
        <v>868800.51</v>
      </c>
      <c r="G27" s="368">
        <f>$E$27-F27</f>
        <v>24108.539999999921</v>
      </c>
      <c r="H27" s="368">
        <v>892909</v>
      </c>
      <c r="I27" s="368">
        <f>$E$27-H27</f>
        <v>4.9999999930150807E-2</v>
      </c>
      <c r="J27" s="368">
        <v>874047</v>
      </c>
      <c r="K27" s="368">
        <f>$E$27-J27</f>
        <v>18862.04999999993</v>
      </c>
      <c r="L27" s="368">
        <v>892909</v>
      </c>
      <c r="M27" s="368">
        <f>$E$27-L27</f>
        <v>4.9999999930150807E-2</v>
      </c>
      <c r="N27" s="368">
        <v>880855</v>
      </c>
      <c r="O27" s="368">
        <f>$E$27-N27</f>
        <v>12054.04999999993</v>
      </c>
      <c r="P27" s="369"/>
      <c r="Q27" s="369">
        <f>$E$27-P27</f>
        <v>892909.04999999993</v>
      </c>
      <c r="R27" s="368">
        <v>869693.36600000015</v>
      </c>
      <c r="S27" s="368">
        <f>$E$27-R27</f>
        <v>23215.683999999776</v>
      </c>
      <c r="T27" s="368">
        <v>870096</v>
      </c>
      <c r="U27" s="368">
        <f>$E$27-T27</f>
        <v>22813.04999999993</v>
      </c>
      <c r="V27" s="367">
        <v>892909.04999999993</v>
      </c>
      <c r="W27" s="368">
        <v>871746</v>
      </c>
      <c r="X27" s="368">
        <f>$E$27-W27</f>
        <v>21163.04999999993</v>
      </c>
      <c r="Y27" s="369"/>
      <c r="Z27" s="369">
        <f>$E$27-Y27</f>
        <v>892909.04999999993</v>
      </c>
    </row>
    <row r="28" spans="1:26" ht="27" x14ac:dyDescent="0.25">
      <c r="A28" s="216">
        <v>9</v>
      </c>
      <c r="B28" s="4" t="s">
        <v>241</v>
      </c>
      <c r="C28" s="6" t="s">
        <v>4</v>
      </c>
      <c r="D28" s="3">
        <v>1</v>
      </c>
      <c r="E28" s="367">
        <v>8239266.8000000007</v>
      </c>
      <c r="F28" s="368">
        <v>8016806.5999999996</v>
      </c>
      <c r="G28" s="368">
        <f>$E$28-F28</f>
        <v>222460.20000000112</v>
      </c>
      <c r="H28" s="368">
        <v>7727809</v>
      </c>
      <c r="I28" s="368">
        <f>$E$28-H28</f>
        <v>511457.80000000075</v>
      </c>
      <c r="J28" s="368">
        <v>8065234</v>
      </c>
      <c r="K28" s="368">
        <f>$E$28-J28</f>
        <v>174032.80000000075</v>
      </c>
      <c r="L28" s="368">
        <v>8239271</v>
      </c>
      <c r="M28" s="368">
        <f>$E$28-L28</f>
        <v>-4.1999999992549419</v>
      </c>
      <c r="N28" s="368">
        <v>8128041</v>
      </c>
      <c r="O28" s="368">
        <f>$E$28-N28</f>
        <v>111225.80000000075</v>
      </c>
      <c r="P28" s="369"/>
      <c r="Q28" s="369">
        <f>$E$28-P28</f>
        <v>8239266.8000000007</v>
      </c>
      <c r="R28" s="368">
        <v>8025049.9539999999</v>
      </c>
      <c r="S28" s="368">
        <f>$E$28-R28</f>
        <v>214216.84600000083</v>
      </c>
      <c r="T28" s="368">
        <v>8028760</v>
      </c>
      <c r="U28" s="368">
        <f>$E$28-T28</f>
        <v>210506.80000000075</v>
      </c>
      <c r="V28" s="367">
        <v>8239266.8000000007</v>
      </c>
      <c r="W28" s="368">
        <v>8043999</v>
      </c>
      <c r="X28" s="368">
        <f>$E$28-W28</f>
        <v>195267.80000000075</v>
      </c>
      <c r="Y28" s="369"/>
      <c r="Z28" s="369">
        <f>$E$28-Y28</f>
        <v>8239266.8000000007</v>
      </c>
    </row>
    <row r="29" spans="1:26" ht="27" x14ac:dyDescent="0.25">
      <c r="A29" s="216">
        <v>10</v>
      </c>
      <c r="B29" s="4" t="s">
        <v>252</v>
      </c>
      <c r="C29" s="6" t="s">
        <v>4</v>
      </c>
      <c r="D29" s="3">
        <v>1</v>
      </c>
      <c r="E29" s="367">
        <v>7372103.9999999991</v>
      </c>
      <c r="F29" s="368">
        <v>7173057.1900000004</v>
      </c>
      <c r="G29" s="368">
        <f>$E$29-F29</f>
        <v>199046.80999999866</v>
      </c>
      <c r="H29" s="368">
        <v>7372107</v>
      </c>
      <c r="I29" s="368">
        <f>$E$29-H29</f>
        <v>-3.0000000009313226</v>
      </c>
      <c r="J29" s="368">
        <v>7216387</v>
      </c>
      <c r="K29" s="368">
        <f>$E$29-J29</f>
        <v>155716.99999999907</v>
      </c>
      <c r="L29" s="368">
        <v>7372107</v>
      </c>
      <c r="M29" s="368">
        <f>$E$29-L29</f>
        <v>-3.0000000009313226</v>
      </c>
      <c r="N29" s="368">
        <v>7272587</v>
      </c>
      <c r="O29" s="368">
        <f>$E$29-N29</f>
        <v>99516.999999999069</v>
      </c>
      <c r="P29" s="369"/>
      <c r="Q29" s="369">
        <f>$E$29-P29</f>
        <v>7372103.9999999991</v>
      </c>
      <c r="R29" s="368">
        <v>7180432.2180000003</v>
      </c>
      <c r="S29" s="368">
        <f>$E$29-R29</f>
        <v>191671.78199999873</v>
      </c>
      <c r="T29" s="368">
        <v>7183750</v>
      </c>
      <c r="U29" s="368">
        <f>$E$29-T29</f>
        <v>188353.99999999907</v>
      </c>
      <c r="V29" s="367">
        <v>7372103.9999999991</v>
      </c>
      <c r="W29" s="368">
        <v>7197392</v>
      </c>
      <c r="X29" s="368">
        <f>$E$29-W29</f>
        <v>174711.99999999907</v>
      </c>
      <c r="Y29" s="369"/>
      <c r="Z29" s="369">
        <f>$E$29-Y29</f>
        <v>7372103.9999999991</v>
      </c>
    </row>
    <row r="30" spans="1:26" x14ac:dyDescent="0.25">
      <c r="A30" s="216">
        <v>11</v>
      </c>
      <c r="B30" s="5" t="s">
        <v>258</v>
      </c>
      <c r="C30" s="6" t="s">
        <v>4</v>
      </c>
      <c r="D30" s="3">
        <v>1</v>
      </c>
      <c r="E30" s="367">
        <v>3498106.95</v>
      </c>
      <c r="F30" s="368">
        <v>3403658.06</v>
      </c>
      <c r="G30" s="368">
        <f>$E$30-F30</f>
        <v>94448.89000000013</v>
      </c>
      <c r="H30" s="368">
        <v>3498107</v>
      </c>
      <c r="I30" s="368">
        <f>$E$30-H30</f>
        <v>-4.9999999813735485E-2</v>
      </c>
      <c r="J30" s="368">
        <v>3424216</v>
      </c>
      <c r="K30" s="368">
        <f>$E$30-J30</f>
        <v>73890.950000000186</v>
      </c>
      <c r="L30" s="368">
        <v>3498107</v>
      </c>
      <c r="M30" s="368">
        <f>$E$30-L30</f>
        <v>-4.9999999813735485E-2</v>
      </c>
      <c r="N30" s="368">
        <v>3450882</v>
      </c>
      <c r="O30" s="368">
        <f>$E$30-N30</f>
        <v>47224.950000000186</v>
      </c>
      <c r="P30" s="369"/>
      <c r="Q30" s="369">
        <f>$E$30-P30</f>
        <v>3498106.95</v>
      </c>
      <c r="R30" s="368">
        <v>3407156.2179999999</v>
      </c>
      <c r="S30" s="368">
        <f>$E$30-R30</f>
        <v>90950.732000000309</v>
      </c>
      <c r="T30" s="368">
        <v>3408731</v>
      </c>
      <c r="U30" s="368">
        <f>$E$30-T30</f>
        <v>89375.950000000186</v>
      </c>
      <c r="V30" s="367">
        <v>3498106.95</v>
      </c>
      <c r="W30" s="368">
        <v>3415201</v>
      </c>
      <c r="X30" s="368">
        <f>$E$30-W30</f>
        <v>82905.950000000186</v>
      </c>
      <c r="Y30" s="369"/>
      <c r="Z30" s="369">
        <f>$E$30-Y30</f>
        <v>3498106.95</v>
      </c>
    </row>
    <row r="31" spans="1:26" ht="27" x14ac:dyDescent="0.25">
      <c r="A31" s="216">
        <v>12</v>
      </c>
      <c r="B31" s="5" t="s">
        <v>262</v>
      </c>
      <c r="C31" s="6" t="s">
        <v>4</v>
      </c>
      <c r="D31" s="3">
        <v>1</v>
      </c>
      <c r="E31" s="367">
        <v>217729.05000000002</v>
      </c>
      <c r="F31" s="368">
        <v>211850.37</v>
      </c>
      <c r="G31" s="368">
        <f>$E$31-F31</f>
        <v>5878.6800000000221</v>
      </c>
      <c r="H31" s="368">
        <v>217728</v>
      </c>
      <c r="I31" s="368">
        <f>$E$31-H31</f>
        <v>1.0500000000174623</v>
      </c>
      <c r="J31" s="368">
        <v>213128</v>
      </c>
      <c r="K31" s="368">
        <f>$E$31-J31</f>
        <v>4601.0500000000175</v>
      </c>
      <c r="L31" s="368">
        <v>217728</v>
      </c>
      <c r="M31" s="368">
        <f>$E$31-L31</f>
        <v>1.0500000000174623</v>
      </c>
      <c r="N31" s="368">
        <v>214788</v>
      </c>
      <c r="O31" s="368">
        <f>$E$31-N31</f>
        <v>2941.0500000000175</v>
      </c>
      <c r="P31" s="369"/>
      <c r="Q31" s="369">
        <f>$E$31-P31</f>
        <v>217729.05000000002</v>
      </c>
      <c r="R31" s="368">
        <v>212067.07199999996</v>
      </c>
      <c r="S31" s="368">
        <f>$E$31-R31</f>
        <v>5661.978000000061</v>
      </c>
      <c r="T31" s="368">
        <v>212163</v>
      </c>
      <c r="U31" s="368">
        <f>$E$31-T31</f>
        <v>5566.0500000000175</v>
      </c>
      <c r="V31" s="367">
        <v>217729.05000000002</v>
      </c>
      <c r="W31" s="368">
        <v>212567</v>
      </c>
      <c r="X31" s="368">
        <f>$E$31-W31</f>
        <v>5162.0500000000175</v>
      </c>
      <c r="Y31" s="369"/>
      <c r="Z31" s="369">
        <f>$E$31-Y31</f>
        <v>217729.05000000002</v>
      </c>
    </row>
    <row r="32" spans="1:26" x14ac:dyDescent="0.25">
      <c r="A32" s="439" t="s">
        <v>128</v>
      </c>
      <c r="B32" s="439"/>
      <c r="C32" s="439"/>
      <c r="D32" s="439"/>
      <c r="E32" s="370">
        <v>38005344</v>
      </c>
      <c r="F32" s="371">
        <f>SUM(F20:F31)</f>
        <v>36979186.299999997</v>
      </c>
      <c r="G32" s="371">
        <f>$E$32-F32</f>
        <v>1026157.700000003</v>
      </c>
      <c r="H32" s="371">
        <f>SUM(H20:H31)</f>
        <v>37493882</v>
      </c>
      <c r="I32" s="371">
        <f>$E$32-H32</f>
        <v>511462</v>
      </c>
      <c r="J32" s="371">
        <f>SUM(J20:J31)</f>
        <v>37202564</v>
      </c>
      <c r="K32" s="371">
        <f>$E$32-J32</f>
        <v>802780</v>
      </c>
      <c r="L32" s="371">
        <f>SUM(L20:L31)</f>
        <v>38005344</v>
      </c>
      <c r="M32" s="371">
        <f>$E$32-L32</f>
        <v>0</v>
      </c>
      <c r="N32" s="371">
        <f>SUM(N20:N31)</f>
        <v>37492275</v>
      </c>
      <c r="O32" s="371">
        <f>$E$32-N32</f>
        <v>513069</v>
      </c>
      <c r="P32" s="369">
        <f>SUM(P20:P31)</f>
        <v>0</v>
      </c>
      <c r="Q32" s="369">
        <f>$E$32-P32</f>
        <v>38005344</v>
      </c>
      <c r="R32" s="371">
        <f>SUM(R20:R31)</f>
        <v>37017205.056000002</v>
      </c>
      <c r="S32" s="371">
        <f>$E$32-R32</f>
        <v>988138.94399999827</v>
      </c>
      <c r="T32" s="371">
        <f>SUM(T20:T31)</f>
        <v>37034311</v>
      </c>
      <c r="U32" s="371">
        <f>$E$32-T32</f>
        <v>971033</v>
      </c>
      <c r="V32" s="370">
        <v>38005344</v>
      </c>
      <c r="W32" s="371">
        <f>SUM(W20:W31)</f>
        <v>37104612</v>
      </c>
      <c r="X32" s="371">
        <f>$E$32-W32</f>
        <v>900732</v>
      </c>
      <c r="Y32" s="369">
        <f>SUM(Y20:Y31)</f>
        <v>0</v>
      </c>
      <c r="Z32" s="369">
        <f>$E$32-Y32</f>
        <v>38005344</v>
      </c>
    </row>
    <row r="33" spans="1:26" x14ac:dyDescent="0.25">
      <c r="A33" s="440" t="s">
        <v>136</v>
      </c>
      <c r="B33" s="440"/>
      <c r="C33" s="440"/>
      <c r="D33" s="7">
        <v>0.2</v>
      </c>
      <c r="E33" s="367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9"/>
      <c r="Q33" s="369"/>
      <c r="R33" s="368"/>
      <c r="S33" s="368"/>
      <c r="T33" s="368"/>
      <c r="U33" s="368"/>
      <c r="V33" s="367"/>
      <c r="W33" s="368"/>
      <c r="X33" s="368"/>
      <c r="Y33" s="369"/>
      <c r="Z33" s="369"/>
    </row>
    <row r="34" spans="1:26" x14ac:dyDescent="0.25">
      <c r="A34" s="8"/>
      <c r="B34" s="8" t="s">
        <v>134</v>
      </c>
      <c r="C34" s="8"/>
      <c r="D34" s="9">
        <v>0.13</v>
      </c>
      <c r="E34" s="367">
        <v>4940692.9279499995</v>
      </c>
      <c r="F34" s="368">
        <f>ROUND(F32*D34,0)</f>
        <v>4807294</v>
      </c>
      <c r="G34" s="368">
        <f>$E$34-F34</f>
        <v>133398.92794999946</v>
      </c>
      <c r="H34" s="368">
        <f>H32*D34</f>
        <v>4874204.66</v>
      </c>
      <c r="I34" s="368">
        <f>$E$34-H34</f>
        <v>66488.26794999931</v>
      </c>
      <c r="J34" s="368">
        <f>J32*D34</f>
        <v>4836333.32</v>
      </c>
      <c r="K34" s="368">
        <f>$E$34-J34</f>
        <v>104359.60794999916</v>
      </c>
      <c r="L34" s="368">
        <f>L32*18%</f>
        <v>6840961.9199999999</v>
      </c>
      <c r="M34" s="368">
        <f>$E$34-L34</f>
        <v>-1900268.9920500005</v>
      </c>
      <c r="N34" s="368">
        <f>N32*D34</f>
        <v>4873995.75</v>
      </c>
      <c r="O34" s="368">
        <f>$E$34-N34</f>
        <v>66697.177949999459</v>
      </c>
      <c r="P34" s="369">
        <f>P32*D34</f>
        <v>0</v>
      </c>
      <c r="Q34" s="369">
        <f>$E$34-P34</f>
        <v>4940692.9279499995</v>
      </c>
      <c r="R34" s="368">
        <f>R32*D34</f>
        <v>4812236.6572799999</v>
      </c>
      <c r="S34" s="368">
        <f>$E$34-R34</f>
        <v>128456.27066999953</v>
      </c>
      <c r="T34" s="368">
        <f>T32*D34</f>
        <v>4814460.43</v>
      </c>
      <c r="U34" s="368">
        <f>$E$34-T34</f>
        <v>126232.49794999976</v>
      </c>
      <c r="V34" s="367">
        <v>4940692.9279499995</v>
      </c>
      <c r="W34" s="368">
        <f>W32*D34</f>
        <v>4823599.5600000005</v>
      </c>
      <c r="X34" s="368">
        <f>$E$34-W34</f>
        <v>117093.36794999894</v>
      </c>
      <c r="Y34" s="369">
        <f>Y32*D34</f>
        <v>0</v>
      </c>
      <c r="Z34" s="369">
        <f>$E$34-Y34</f>
        <v>4940692.9279499995</v>
      </c>
    </row>
    <row r="35" spans="1:26" x14ac:dyDescent="0.25">
      <c r="A35" s="8"/>
      <c r="B35" s="8" t="s">
        <v>132</v>
      </c>
      <c r="C35" s="8"/>
      <c r="D35" s="7">
        <v>0.02</v>
      </c>
      <c r="E35" s="367">
        <v>760106.60429999989</v>
      </c>
      <c r="F35" s="368">
        <f>ROUND(F32*D35,0)</f>
        <v>739584</v>
      </c>
      <c r="G35" s="368">
        <f>$E$35-F35</f>
        <v>20522.60429999989</v>
      </c>
      <c r="H35" s="368">
        <f>H32*D35</f>
        <v>749877.64</v>
      </c>
      <c r="I35" s="368">
        <f>$E$35-H35</f>
        <v>10228.964299999876</v>
      </c>
      <c r="J35" s="368">
        <f>J32*D35</f>
        <v>744051.28</v>
      </c>
      <c r="K35" s="368">
        <f>$E$35-J35</f>
        <v>16055.324299999862</v>
      </c>
      <c r="L35" s="368">
        <f>L32*0.05%</f>
        <v>19002.671999999999</v>
      </c>
      <c r="M35" s="368">
        <f>$E$35-L35</f>
        <v>741103.93229999987</v>
      </c>
      <c r="N35" s="368">
        <f>N32*D35</f>
        <v>749845.5</v>
      </c>
      <c r="O35" s="368">
        <f>$E$35-N35</f>
        <v>10261.10429999989</v>
      </c>
      <c r="P35" s="369">
        <f>P32*D35</f>
        <v>0</v>
      </c>
      <c r="Q35" s="369">
        <f>$E$35-P35</f>
        <v>760106.60429999989</v>
      </c>
      <c r="R35" s="368">
        <f>R32*D35</f>
        <v>740344.10112000001</v>
      </c>
      <c r="S35" s="368">
        <f>$E$35-R35</f>
        <v>19762.503179999883</v>
      </c>
      <c r="T35" s="368">
        <f>T32*D35</f>
        <v>740686.22</v>
      </c>
      <c r="U35" s="368">
        <f>$E$35-T35</f>
        <v>19420.384299999918</v>
      </c>
      <c r="V35" s="367">
        <v>760106.60429999989</v>
      </c>
      <c r="W35" s="368">
        <f>W32*D35</f>
        <v>742092.24</v>
      </c>
      <c r="X35" s="368">
        <f>$E$35-W35</f>
        <v>18014.364299999899</v>
      </c>
      <c r="Y35" s="369">
        <f>Y32*D35</f>
        <v>0</v>
      </c>
      <c r="Z35" s="369">
        <f>$E$35-Y35</f>
        <v>760106.60429999989</v>
      </c>
    </row>
    <row r="36" spans="1:26" x14ac:dyDescent="0.25">
      <c r="A36" s="8"/>
      <c r="B36" s="8" t="s">
        <v>133</v>
      </c>
      <c r="C36" s="8"/>
      <c r="D36" s="7">
        <v>0.05</v>
      </c>
      <c r="E36" s="367">
        <v>1900266.5107499999</v>
      </c>
      <c r="F36" s="368">
        <f>ROUND(F32*D36,0)</f>
        <v>1848959</v>
      </c>
      <c r="G36" s="368">
        <f>$E$36-F36</f>
        <v>51307.510749999899</v>
      </c>
      <c r="H36" s="368">
        <f>H32*D36</f>
        <v>1874694.1</v>
      </c>
      <c r="I36" s="368">
        <f>$E$36-H36</f>
        <v>25572.410749999806</v>
      </c>
      <c r="J36" s="368">
        <f>J32*D36</f>
        <v>1860128.2000000002</v>
      </c>
      <c r="K36" s="368">
        <f>$E$36-J36</f>
        <v>40138.310749999713</v>
      </c>
      <c r="L36" s="368">
        <f>L32*1.9%</f>
        <v>722101.53599999996</v>
      </c>
      <c r="M36" s="368">
        <f>$E$36-L36</f>
        <v>1178164.9747500001</v>
      </c>
      <c r="N36" s="368">
        <f>N32*D36</f>
        <v>1874613.75</v>
      </c>
      <c r="O36" s="368">
        <f>$E$36-N36</f>
        <v>25652.760749999899</v>
      </c>
      <c r="P36" s="369">
        <f>P32*D36</f>
        <v>0</v>
      </c>
      <c r="Q36" s="369">
        <f>$E$36-P36</f>
        <v>1900266.5107499999</v>
      </c>
      <c r="R36" s="368">
        <f>R32*D36</f>
        <v>1850860.2528000001</v>
      </c>
      <c r="S36" s="368">
        <f>$E$36-R36</f>
        <v>49406.257949999766</v>
      </c>
      <c r="T36" s="368">
        <f>T32*D36</f>
        <v>1851715.55</v>
      </c>
      <c r="U36" s="368">
        <f>$E$36-T36</f>
        <v>48550.960749999853</v>
      </c>
      <c r="V36" s="367">
        <v>1900266.5107499999</v>
      </c>
      <c r="W36" s="368">
        <f>W32*D36</f>
        <v>1855230.6</v>
      </c>
      <c r="X36" s="368">
        <f>$E$36-W36</f>
        <v>45035.910749999806</v>
      </c>
      <c r="Y36" s="369">
        <f>Y32*D36</f>
        <v>0</v>
      </c>
      <c r="Z36" s="369">
        <f>$E$36-Y36</f>
        <v>1900266.5107499999</v>
      </c>
    </row>
    <row r="37" spans="1:26" x14ac:dyDescent="0.25">
      <c r="A37" s="8"/>
      <c r="B37" s="8" t="s">
        <v>135</v>
      </c>
      <c r="C37" s="8"/>
      <c r="D37" s="7">
        <v>0.19</v>
      </c>
      <c r="E37" s="367">
        <v>361050.63704249996</v>
      </c>
      <c r="F37" s="368">
        <f>ROUND(F36*D37,0)</f>
        <v>351302</v>
      </c>
      <c r="G37" s="368">
        <f>$E$37-F37</f>
        <v>9748.6370424999623</v>
      </c>
      <c r="H37" s="368">
        <f>H36*D37</f>
        <v>356191.87900000002</v>
      </c>
      <c r="I37" s="368">
        <f>$E$37-H37</f>
        <v>4858.7580424999469</v>
      </c>
      <c r="J37" s="368">
        <f>J36*D37</f>
        <v>353424.35800000007</v>
      </c>
      <c r="K37" s="368">
        <f>$E$37-J37</f>
        <v>7626.2790424998966</v>
      </c>
      <c r="L37" s="368">
        <f>L36*D37</f>
        <v>137199.29183999999</v>
      </c>
      <c r="M37" s="368">
        <f>$E$37-L37</f>
        <v>223851.34520249997</v>
      </c>
      <c r="N37" s="368">
        <f>N36*D37</f>
        <v>356176.61249999999</v>
      </c>
      <c r="O37" s="368">
        <f>$E$37-N37</f>
        <v>4874.0245424999739</v>
      </c>
      <c r="P37" s="369">
        <f>P36*D37</f>
        <v>0</v>
      </c>
      <c r="Q37" s="369">
        <f>$E$37-P37</f>
        <v>361050.63704249996</v>
      </c>
      <c r="R37" s="368">
        <f>R36*D37</f>
        <v>351663.44803200004</v>
      </c>
      <c r="S37" s="368">
        <f>$E$37-R37</f>
        <v>9387.1890104999184</v>
      </c>
      <c r="T37" s="368">
        <f>T36*D37</f>
        <v>351825.95449999999</v>
      </c>
      <c r="U37" s="368">
        <f>$E$37-T37</f>
        <v>9224.6825424999697</v>
      </c>
      <c r="V37" s="367">
        <v>361050.63704249996</v>
      </c>
      <c r="W37" s="368">
        <f>W36*D37</f>
        <v>352493.81400000001</v>
      </c>
      <c r="X37" s="368">
        <f>$E$37-W37</f>
        <v>8556.8230424999492</v>
      </c>
      <c r="Y37" s="369">
        <f>Y36*D37</f>
        <v>0</v>
      </c>
      <c r="Z37" s="369">
        <f>$E$37-Y37</f>
        <v>361050.63704249996</v>
      </c>
    </row>
    <row r="38" spans="1:26" x14ac:dyDescent="0.25">
      <c r="A38" s="13"/>
      <c r="B38" s="439" t="s">
        <v>129</v>
      </c>
      <c r="C38" s="439"/>
      <c r="D38" s="439"/>
      <c r="E38" s="370">
        <f>SUM(E34:E37)</f>
        <v>7962116.6800424997</v>
      </c>
      <c r="F38" s="371">
        <f>SUM(F34:F37)</f>
        <v>7747139</v>
      </c>
      <c r="G38" s="371">
        <f>$E$38-F38</f>
        <v>214977.68004249968</v>
      </c>
      <c r="H38" s="371">
        <f>SUM(H34:H37)</f>
        <v>7854968.2790000001</v>
      </c>
      <c r="I38" s="371">
        <f>$E$38-H38</f>
        <v>107148.40104249958</v>
      </c>
      <c r="J38" s="371">
        <f>SUM(J34:J37)</f>
        <v>7793937.1580000008</v>
      </c>
      <c r="K38" s="371">
        <f>$E$38-J38</f>
        <v>168179.52204249892</v>
      </c>
      <c r="L38" s="371">
        <f>SUM(L34:L37)</f>
        <v>7719265.4198400006</v>
      </c>
      <c r="M38" s="371">
        <f>$E$38-L38</f>
        <v>242851.26020249911</v>
      </c>
      <c r="N38" s="371">
        <f>SUM(N34:N37)</f>
        <v>7854631.6124999998</v>
      </c>
      <c r="O38" s="371">
        <f>$E$38-N38</f>
        <v>107485.06754249986</v>
      </c>
      <c r="P38" s="369">
        <f>SUM(P34:P37)</f>
        <v>0</v>
      </c>
      <c r="Q38" s="369">
        <f>$E$38-P38</f>
        <v>7962116.6800424997</v>
      </c>
      <c r="R38" s="371">
        <f>SUM(R34:R37)</f>
        <v>7755104.4592319997</v>
      </c>
      <c r="S38" s="371">
        <f>$E$38-R38</f>
        <v>207012.22081049997</v>
      </c>
      <c r="T38" s="371">
        <f>SUM(T34:T37)</f>
        <v>7758688.1544999992</v>
      </c>
      <c r="U38" s="371">
        <f>$E$38-T38</f>
        <v>203428.52554250043</v>
      </c>
      <c r="V38" s="370">
        <f>SUM(V34:V37)</f>
        <v>7962116.6800424997</v>
      </c>
      <c r="W38" s="371">
        <f>SUM(W34:W37)</f>
        <v>7773416.2140000006</v>
      </c>
      <c r="X38" s="371">
        <f>$E$38-W38</f>
        <v>188700.46604249906</v>
      </c>
      <c r="Y38" s="369">
        <f>SUM(Y34:Y37)</f>
        <v>0</v>
      </c>
      <c r="Z38" s="369">
        <f>$E$38-Y38</f>
        <v>7962116.6800424997</v>
      </c>
    </row>
    <row r="39" spans="1:26" ht="16.5" x14ac:dyDescent="0.25">
      <c r="A39" s="441" t="s">
        <v>130</v>
      </c>
      <c r="B39" s="441"/>
      <c r="C39" s="441"/>
      <c r="D39" s="441"/>
      <c r="E39" s="372">
        <f>E32+E38</f>
        <v>45967460.680042498</v>
      </c>
      <c r="F39" s="373">
        <f>F32+F38</f>
        <v>44726325.299999997</v>
      </c>
      <c r="G39" s="373">
        <f>$E$39-F39</f>
        <v>1241135.3800425008</v>
      </c>
      <c r="H39" s="373">
        <f>H32+H38</f>
        <v>45348850.278999999</v>
      </c>
      <c r="I39" s="373">
        <f>$E$39-H39</f>
        <v>618610.40104249865</v>
      </c>
      <c r="J39" s="373">
        <f>J32+J38</f>
        <v>44996501.158</v>
      </c>
      <c r="K39" s="373">
        <f>$E$39-J39</f>
        <v>970959.52204249799</v>
      </c>
      <c r="L39" s="373">
        <f>L32+L38</f>
        <v>45724609.419840001</v>
      </c>
      <c r="M39" s="373">
        <f>$E$39-L39</f>
        <v>242851.26020249724</v>
      </c>
      <c r="N39" s="373">
        <f>N32+N38</f>
        <v>45346906.612499997</v>
      </c>
      <c r="O39" s="373">
        <f>$E$39-N39</f>
        <v>620554.06754250079</v>
      </c>
      <c r="P39" s="369">
        <f>P32+P38</f>
        <v>0</v>
      </c>
      <c r="Q39" s="369">
        <f>$E$39-P39</f>
        <v>45967460.680042498</v>
      </c>
      <c r="R39" s="373">
        <f>R32+R38</f>
        <v>44772309.515232004</v>
      </c>
      <c r="S39" s="373">
        <f>$E$39-R39</f>
        <v>1195151.1648104936</v>
      </c>
      <c r="T39" s="373">
        <f>T32+T38</f>
        <v>44792999.1545</v>
      </c>
      <c r="U39" s="373">
        <f>$E$39-T39</f>
        <v>1174461.5255424976</v>
      </c>
      <c r="V39" s="372">
        <f>V32+V38</f>
        <v>45967460.680042498</v>
      </c>
      <c r="W39" s="373">
        <f>W32+W38</f>
        <v>44878028.214000002</v>
      </c>
      <c r="X39" s="373">
        <f>$E$39-W39</f>
        <v>1089432.4660424963</v>
      </c>
      <c r="Y39" s="369">
        <f>Y32+Y38</f>
        <v>0</v>
      </c>
      <c r="Z39" s="369">
        <f>$E$39-Y39</f>
        <v>45967460.680042498</v>
      </c>
    </row>
  </sheetData>
  <mergeCells count="8">
    <mergeCell ref="B38:D38"/>
    <mergeCell ref="A39:D39"/>
    <mergeCell ref="A9:D9"/>
    <mergeCell ref="A10:C10"/>
    <mergeCell ref="B15:D15"/>
    <mergeCell ref="A16:D16"/>
    <mergeCell ref="A32:D32"/>
    <mergeCell ref="A33:C33"/>
  </mergeCells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B641A-6271-49D6-BF2F-15A6DDA46AB1}">
  <dimension ref="A1:Z39"/>
  <sheetViews>
    <sheetView zoomScale="150" zoomScaleNormal="150" workbookViewId="0">
      <pane xSplit="5" ySplit="1" topLeftCell="Q2" activePane="bottomRight" state="frozen"/>
      <selection pane="topRight" activeCell="F1" sqref="F1"/>
      <selection pane="bottomLeft" activeCell="A2" sqref="A2"/>
      <selection pane="bottomRight" activeCell="Y1" sqref="Y1:Z1048576"/>
    </sheetView>
  </sheetViews>
  <sheetFormatPr baseColWidth="10" defaultRowHeight="15" x14ac:dyDescent="0.25"/>
  <cols>
    <col min="1" max="1" width="4.42578125" style="2" bestFit="1" customWidth="1"/>
    <col min="2" max="2" width="30.85546875" style="10" customWidth="1"/>
    <col min="3" max="3" width="6.140625" style="2" bestFit="1" customWidth="1"/>
    <col min="4" max="4" width="6.42578125" style="2" bestFit="1" customWidth="1"/>
    <col min="5" max="5" width="12.7109375" style="15" bestFit="1" customWidth="1"/>
    <col min="6" max="6" width="12.28515625" style="2" customWidth="1"/>
    <col min="7" max="7" width="10.7109375" style="19" customWidth="1"/>
    <col min="8" max="8" width="14.28515625" style="2" customWidth="1"/>
    <col min="9" max="9" width="10.7109375" style="19" customWidth="1"/>
    <col min="10" max="10" width="12.28515625" style="2" customWidth="1"/>
    <col min="11" max="11" width="10.7109375" style="19" customWidth="1"/>
    <col min="12" max="12" width="12.28515625" style="2" customWidth="1"/>
    <col min="13" max="13" width="10.7109375" style="19" customWidth="1"/>
    <col min="14" max="14" width="12.28515625" style="2" customWidth="1"/>
    <col min="15" max="15" width="10.7109375" style="19" customWidth="1"/>
    <col min="16" max="16" width="12.28515625" style="2" customWidth="1"/>
    <col min="17" max="17" width="10.7109375" style="19" customWidth="1"/>
    <col min="18" max="18" width="12.28515625" style="2" customWidth="1"/>
    <col min="19" max="19" width="10.7109375" style="19" customWidth="1"/>
    <col min="20" max="20" width="12.28515625" style="2" customWidth="1"/>
    <col min="21" max="21" width="10.7109375" style="19" customWidth="1"/>
    <col min="22" max="22" width="12.7109375" style="15" bestFit="1" customWidth="1"/>
    <col min="23" max="23" width="12.28515625" style="2" customWidth="1"/>
    <col min="24" max="24" width="10.7109375" style="19" customWidth="1"/>
    <col min="25" max="25" width="12.28515625" style="379" customWidth="1"/>
    <col min="26" max="26" width="10.7109375" style="363" customWidth="1"/>
  </cols>
  <sheetData>
    <row r="1" spans="1:26" ht="67.5" x14ac:dyDescent="0.25">
      <c r="A1" s="11" t="s">
        <v>127</v>
      </c>
      <c r="B1" s="12" t="s">
        <v>7</v>
      </c>
      <c r="C1" s="12" t="s">
        <v>4</v>
      </c>
      <c r="D1" s="12" t="s">
        <v>138</v>
      </c>
      <c r="E1" s="14" t="s">
        <v>137</v>
      </c>
      <c r="F1" s="12" t="s">
        <v>430</v>
      </c>
      <c r="G1" s="12" t="s">
        <v>271</v>
      </c>
      <c r="H1" s="12" t="s">
        <v>431</v>
      </c>
      <c r="I1" s="12" t="s">
        <v>271</v>
      </c>
      <c r="J1" s="12" t="s">
        <v>432</v>
      </c>
      <c r="K1" s="12" t="s">
        <v>271</v>
      </c>
      <c r="L1" s="12" t="s">
        <v>433</v>
      </c>
      <c r="M1" s="12" t="s">
        <v>271</v>
      </c>
      <c r="N1" s="12" t="s">
        <v>434</v>
      </c>
      <c r="O1" s="12" t="s">
        <v>271</v>
      </c>
      <c r="P1" s="12" t="s">
        <v>435</v>
      </c>
      <c r="Q1" s="12" t="s">
        <v>271</v>
      </c>
      <c r="R1" s="12" t="s">
        <v>436</v>
      </c>
      <c r="S1" s="12" t="s">
        <v>271</v>
      </c>
      <c r="T1" s="12" t="s">
        <v>437</v>
      </c>
      <c r="U1" s="12" t="s">
        <v>271</v>
      </c>
      <c r="V1" s="14" t="s">
        <v>137</v>
      </c>
      <c r="W1" s="12" t="s">
        <v>438</v>
      </c>
      <c r="X1" s="12" t="s">
        <v>271</v>
      </c>
      <c r="Y1" s="375">
        <v>30</v>
      </c>
      <c r="Z1" s="375" t="s">
        <v>271</v>
      </c>
    </row>
    <row r="2" spans="1:26" ht="27" x14ac:dyDescent="0.25">
      <c r="A2" s="216">
        <v>1</v>
      </c>
      <c r="B2" s="5" t="s">
        <v>292</v>
      </c>
      <c r="C2" s="6" t="s">
        <v>4</v>
      </c>
      <c r="D2" s="3">
        <v>1</v>
      </c>
      <c r="E2" s="217">
        <v>4568383</v>
      </c>
      <c r="F2" s="355">
        <v>4463768.2</v>
      </c>
      <c r="G2" s="355">
        <f>$E$2-F2</f>
        <v>104614.79999999981</v>
      </c>
      <c r="H2" s="355">
        <v>4479539</v>
      </c>
      <c r="I2" s="355">
        <f>$E$2-H2</f>
        <v>88844</v>
      </c>
      <c r="J2" s="355">
        <v>4487518.2</v>
      </c>
      <c r="K2" s="355">
        <f>$E$2-J2</f>
        <v>80864.799999999814</v>
      </c>
      <c r="L2" s="355">
        <v>3988198.4</v>
      </c>
      <c r="M2" s="355">
        <f>$E$2-L2</f>
        <v>580184.60000000009</v>
      </c>
      <c r="N2" s="355">
        <v>4482949</v>
      </c>
      <c r="O2" s="355">
        <f>$E$2-N2</f>
        <v>85434</v>
      </c>
      <c r="P2" s="355">
        <v>4479300</v>
      </c>
      <c r="Q2" s="355">
        <f>$E$2-P2</f>
        <v>89083</v>
      </c>
      <c r="R2" s="355">
        <v>4436353</v>
      </c>
      <c r="S2" s="355">
        <f>$E$2-R2</f>
        <v>132030</v>
      </c>
      <c r="T2" s="355">
        <v>11480000</v>
      </c>
      <c r="U2" s="355">
        <f>$E$2-T2</f>
        <v>-6911617</v>
      </c>
      <c r="V2" s="217">
        <v>4568383</v>
      </c>
      <c r="W2" s="355">
        <v>4456916.2</v>
      </c>
      <c r="X2" s="355">
        <f>$E$2-W2</f>
        <v>111466.79999999981</v>
      </c>
      <c r="Y2" s="376"/>
      <c r="Z2" s="376">
        <f>$E$2-Y2</f>
        <v>4568383</v>
      </c>
    </row>
    <row r="3" spans="1:26" x14ac:dyDescent="0.25">
      <c r="A3" s="216">
        <v>2</v>
      </c>
      <c r="B3" s="5" t="s">
        <v>299</v>
      </c>
      <c r="C3" s="6" t="s">
        <v>4</v>
      </c>
      <c r="D3" s="3">
        <v>1</v>
      </c>
      <c r="E3" s="217">
        <v>26508156.666666668</v>
      </c>
      <c r="F3" s="355">
        <v>25901140</v>
      </c>
      <c r="G3" s="355">
        <f>$E$3-F3</f>
        <v>607016.66666666791</v>
      </c>
      <c r="H3" s="355">
        <v>25933570</v>
      </c>
      <c r="I3" s="355">
        <f>$E$3-H3</f>
        <v>574586.66666666791</v>
      </c>
      <c r="J3" s="355">
        <v>26038950</v>
      </c>
      <c r="K3" s="355">
        <f>$E$3-J3</f>
        <v>469206.66666666791</v>
      </c>
      <c r="L3" s="355">
        <v>23141710</v>
      </c>
      <c r="M3" s="355">
        <f>$E$3-L3</f>
        <v>3366446.6666666679</v>
      </c>
      <c r="N3" s="355">
        <v>26012460</v>
      </c>
      <c r="O3" s="355">
        <f>$E$3-N3</f>
        <v>495696.66666666791</v>
      </c>
      <c r="P3" s="355">
        <v>25991220</v>
      </c>
      <c r="Q3" s="355">
        <f>$E$3-P3</f>
        <v>516936.66666666791</v>
      </c>
      <c r="R3" s="355">
        <v>25742090</v>
      </c>
      <c r="S3" s="355">
        <f>$E$3-R3</f>
        <v>766066.66666666791</v>
      </c>
      <c r="T3" s="355">
        <v>53525000</v>
      </c>
      <c r="U3" s="355">
        <f>$E$3-T3</f>
        <v>-27016843.333333332</v>
      </c>
      <c r="V3" s="217">
        <v>26508156.666666668</v>
      </c>
      <c r="W3" s="355">
        <v>25861440</v>
      </c>
      <c r="X3" s="355">
        <f>$E$3-W3</f>
        <v>646716.66666666791</v>
      </c>
      <c r="Y3" s="376"/>
      <c r="Z3" s="376">
        <f>$E$3-Y3</f>
        <v>26508156.666666668</v>
      </c>
    </row>
    <row r="4" spans="1:26" x14ac:dyDescent="0.25">
      <c r="A4" s="216">
        <v>3</v>
      </c>
      <c r="B4" s="4" t="s">
        <v>308</v>
      </c>
      <c r="C4" s="6" t="s">
        <v>4</v>
      </c>
      <c r="D4" s="3">
        <v>1</v>
      </c>
      <c r="E4" s="217">
        <v>18398710.550000001</v>
      </c>
      <c r="F4" s="355">
        <v>17977380.780000001</v>
      </c>
      <c r="G4" s="355">
        <f>$E$4-F4</f>
        <v>421329.76999999955</v>
      </c>
      <c r="H4" s="355">
        <v>17579574</v>
      </c>
      <c r="I4" s="355">
        <f>$E$4-H4</f>
        <v>819136.55000000075</v>
      </c>
      <c r="J4" s="355">
        <v>18072980.170000002</v>
      </c>
      <c r="K4" s="355">
        <f>$E$4-J4</f>
        <v>325730.37999999896</v>
      </c>
      <c r="L4" s="355">
        <v>16061872.529999999</v>
      </c>
      <c r="M4" s="355">
        <f>$E$4-L4</f>
        <v>2336838.0200000014</v>
      </c>
      <c r="N4" s="355">
        <v>18054765</v>
      </c>
      <c r="O4" s="355">
        <f>$E$4-N4</f>
        <v>343945.55000000075</v>
      </c>
      <c r="P4" s="355">
        <v>18040139</v>
      </c>
      <c r="Q4" s="355">
        <f>$E$4-P4</f>
        <v>358571.55000000075</v>
      </c>
      <c r="R4" s="355">
        <v>17867021</v>
      </c>
      <c r="S4" s="355">
        <f>$E$4-R4</f>
        <v>531689.55000000075</v>
      </c>
      <c r="T4" s="355">
        <v>35749600</v>
      </c>
      <c r="U4" s="355">
        <f>$E$4-T4</f>
        <v>-17350889.449999999</v>
      </c>
      <c r="V4" s="217">
        <v>18398710.550000001</v>
      </c>
      <c r="W4" s="355">
        <v>17949636.280000001</v>
      </c>
      <c r="X4" s="355">
        <f>$E$4-W4</f>
        <v>449074.26999999955</v>
      </c>
      <c r="Y4" s="376"/>
      <c r="Z4" s="376">
        <f>$E$4-Y4</f>
        <v>18398710.550000001</v>
      </c>
    </row>
    <row r="5" spans="1:26" x14ac:dyDescent="0.25">
      <c r="A5" s="216">
        <v>4</v>
      </c>
      <c r="B5" s="4" t="s">
        <v>314</v>
      </c>
      <c r="C5" s="6" t="s">
        <v>4</v>
      </c>
      <c r="D5" s="3">
        <v>1</v>
      </c>
      <c r="E5" s="217">
        <v>9464086.666666666</v>
      </c>
      <c r="F5" s="355">
        <v>9247420</v>
      </c>
      <c r="G5" s="355">
        <f>$E$5-F5</f>
        <v>216666.66666666605</v>
      </c>
      <c r="H5" s="355">
        <v>9195940</v>
      </c>
      <c r="I5" s="355">
        <f>$E$5-H5</f>
        <v>268146.66666666605</v>
      </c>
      <c r="J5" s="355">
        <v>9296560</v>
      </c>
      <c r="K5" s="355">
        <f>$E$5-J5</f>
        <v>167526.66666666605</v>
      </c>
      <c r="L5" s="355">
        <v>8262150</v>
      </c>
      <c r="M5" s="355">
        <f>$E$5-L5</f>
        <v>1201936.666666666</v>
      </c>
      <c r="N5" s="355">
        <v>9287070</v>
      </c>
      <c r="O5" s="355">
        <f>$E$5-N5</f>
        <v>177016.66666666605</v>
      </c>
      <c r="P5" s="355">
        <v>9279530</v>
      </c>
      <c r="Q5" s="355">
        <f>$E$5-P5</f>
        <v>184556.66666666605</v>
      </c>
      <c r="R5" s="355">
        <v>9190610</v>
      </c>
      <c r="S5" s="355">
        <f>$E$5-R5</f>
        <v>273476.66666666605</v>
      </c>
      <c r="T5" s="355">
        <v>19500000</v>
      </c>
      <c r="U5" s="355">
        <f>$E$5-T5</f>
        <v>-10035913.333333334</v>
      </c>
      <c r="V5" s="217">
        <v>9464086.666666666</v>
      </c>
      <c r="W5" s="355">
        <v>9233120</v>
      </c>
      <c r="X5" s="355">
        <f>$E$5-W5</f>
        <v>230966.66666666605</v>
      </c>
      <c r="Y5" s="376"/>
      <c r="Z5" s="376">
        <f>$E$5-Y5</f>
        <v>9464086.666666666</v>
      </c>
    </row>
    <row r="6" spans="1:26" ht="27" x14ac:dyDescent="0.25">
      <c r="A6" s="216">
        <v>5</v>
      </c>
      <c r="B6" s="4" t="s">
        <v>323</v>
      </c>
      <c r="C6" s="6" t="s">
        <v>4</v>
      </c>
      <c r="D6" s="3">
        <v>1</v>
      </c>
      <c r="E6" s="217">
        <v>46259409</v>
      </c>
      <c r="F6" s="355">
        <v>45200063.850000001</v>
      </c>
      <c r="G6" s="355">
        <f>$E$6-F6</f>
        <v>1059345.1499999985</v>
      </c>
      <c r="H6" s="355">
        <v>45559614</v>
      </c>
      <c r="I6" s="355">
        <f>$E$6-H6</f>
        <v>699795</v>
      </c>
      <c r="J6" s="355">
        <v>45440627.579999998</v>
      </c>
      <c r="K6" s="355">
        <f>$E$6-J6</f>
        <v>818781.42000000179</v>
      </c>
      <c r="L6" s="355">
        <v>40384436.18</v>
      </c>
      <c r="M6" s="355">
        <f>$E$6-L6</f>
        <v>5874972.8200000003</v>
      </c>
      <c r="N6" s="355">
        <v>45394344</v>
      </c>
      <c r="O6" s="355">
        <f>$E$6-N6</f>
        <v>865065</v>
      </c>
      <c r="P6" s="355">
        <v>45357362</v>
      </c>
      <c r="Q6" s="355">
        <f>$E$6-P6</f>
        <v>902047</v>
      </c>
      <c r="R6" s="355">
        <v>44922496</v>
      </c>
      <c r="S6" s="355">
        <f>$E$6-R6</f>
        <v>1336913</v>
      </c>
      <c r="T6" s="355">
        <v>103136375</v>
      </c>
      <c r="U6" s="355">
        <f>$E$6-T6</f>
        <v>-56876966</v>
      </c>
      <c r="V6" s="217">
        <v>46259409</v>
      </c>
      <c r="W6" s="355">
        <v>45130708.480000004</v>
      </c>
      <c r="X6" s="355">
        <f>$E$6-W6</f>
        <v>1128700.5199999958</v>
      </c>
      <c r="Y6" s="376"/>
      <c r="Z6" s="376">
        <f>$E$6-Y6</f>
        <v>46259409</v>
      </c>
    </row>
    <row r="7" spans="1:26" x14ac:dyDescent="0.25">
      <c r="A7" s="216">
        <v>6</v>
      </c>
      <c r="B7" s="5" t="s">
        <v>328</v>
      </c>
      <c r="C7" s="6" t="s">
        <v>4</v>
      </c>
      <c r="D7" s="3">
        <v>1</v>
      </c>
      <c r="E7" s="217">
        <v>69497761.733333334</v>
      </c>
      <c r="F7" s="355">
        <v>67906271.699999988</v>
      </c>
      <c r="G7" s="355">
        <f>$E$7-F7</f>
        <v>1591490.0333333462</v>
      </c>
      <c r="H7" s="355">
        <v>68559479</v>
      </c>
      <c r="I7" s="355">
        <f>$E$7-H7</f>
        <v>938282.73333333433</v>
      </c>
      <c r="J7" s="355">
        <v>68267654.549999997</v>
      </c>
      <c r="K7" s="355">
        <f>$E$7-J7</f>
        <v>1230107.1833333373</v>
      </c>
      <c r="L7" s="355">
        <v>60671540.999999993</v>
      </c>
      <c r="M7" s="355">
        <f>$E$7-L7</f>
        <v>8826220.7333333418</v>
      </c>
      <c r="N7" s="355">
        <v>68198166</v>
      </c>
      <c r="O7" s="355">
        <f>$E$7-N7</f>
        <v>1299595.7333333343</v>
      </c>
      <c r="P7" s="355">
        <v>68142547</v>
      </c>
      <c r="Q7" s="355">
        <f>$E$7-P7</f>
        <v>1355214.7333333343</v>
      </c>
      <c r="R7" s="355">
        <v>67489270</v>
      </c>
      <c r="S7" s="355">
        <f>$E$7-R7</f>
        <v>2008491.7333333343</v>
      </c>
      <c r="T7" s="355">
        <v>69350000</v>
      </c>
      <c r="U7" s="355">
        <f>$E$7-T7</f>
        <v>147761.73333333433</v>
      </c>
      <c r="V7" s="217">
        <v>69497761.733333334</v>
      </c>
      <c r="W7" s="355">
        <v>67802038.649999991</v>
      </c>
      <c r="X7" s="355">
        <f>$E$7-W7</f>
        <v>1695723.0833333433</v>
      </c>
      <c r="Y7" s="376"/>
      <c r="Z7" s="376">
        <f>$E$7-Y7</f>
        <v>69497761.733333334</v>
      </c>
    </row>
    <row r="8" spans="1:26" ht="27" x14ac:dyDescent="0.25">
      <c r="A8" s="216">
        <v>7</v>
      </c>
      <c r="B8" s="5" t="s">
        <v>333</v>
      </c>
      <c r="C8" s="6" t="s">
        <v>4</v>
      </c>
      <c r="D8" s="3">
        <v>1</v>
      </c>
      <c r="E8" s="217">
        <v>2370133.3333333335</v>
      </c>
      <c r="F8" s="355">
        <v>2316000</v>
      </c>
      <c r="G8" s="355">
        <f>$E$8-F8</f>
        <v>54133.333333333489</v>
      </c>
      <c r="H8" s="355">
        <v>2132800</v>
      </c>
      <c r="I8" s="355">
        <f>$E$8-H8</f>
        <v>237333.33333333349</v>
      </c>
      <c r="J8" s="355">
        <v>2328000</v>
      </c>
      <c r="K8" s="355">
        <f>$E$8-J8</f>
        <v>42133.333333333489</v>
      </c>
      <c r="L8" s="355">
        <v>2069200</v>
      </c>
      <c r="M8" s="355">
        <f>$E$8-L8</f>
        <v>300933.33333333349</v>
      </c>
      <c r="N8" s="355">
        <v>2326000</v>
      </c>
      <c r="O8" s="355">
        <f>$E$8-N8</f>
        <v>44133.333333333489</v>
      </c>
      <c r="P8" s="355">
        <v>2324000</v>
      </c>
      <c r="Q8" s="355">
        <f>$E$8-P8</f>
        <v>46133.333333333489</v>
      </c>
      <c r="R8" s="355">
        <v>2301600</v>
      </c>
      <c r="S8" s="355">
        <f>$E$8-R8</f>
        <v>68533.333333333489</v>
      </c>
      <c r="T8" s="355">
        <v>82000000</v>
      </c>
      <c r="U8" s="355">
        <f>$E$8-T8</f>
        <v>-79629866.666666672</v>
      </c>
      <c r="V8" s="217">
        <v>2370133.3333333335</v>
      </c>
      <c r="W8" s="355">
        <v>2312400</v>
      </c>
      <c r="X8" s="355">
        <f>$E$8-W8</f>
        <v>57733.333333333489</v>
      </c>
      <c r="Y8" s="376"/>
      <c r="Z8" s="376">
        <f>$E$8-Y8</f>
        <v>2370133.3333333335</v>
      </c>
    </row>
    <row r="9" spans="1:26" s="16" customFormat="1" x14ac:dyDescent="0.25">
      <c r="A9" s="439" t="s">
        <v>128</v>
      </c>
      <c r="B9" s="439"/>
      <c r="C9" s="439"/>
      <c r="D9" s="439"/>
      <c r="E9" s="354">
        <f>SUM(E2:E8)</f>
        <v>177066640.95000002</v>
      </c>
      <c r="F9" s="356">
        <f>SUM(F2:F8)</f>
        <v>173012044.53</v>
      </c>
      <c r="G9" s="356">
        <f>$E$9-F9</f>
        <v>4054596.4200000167</v>
      </c>
      <c r="H9" s="356">
        <f>SUM(H2:H8)</f>
        <v>173440516</v>
      </c>
      <c r="I9" s="356">
        <f>$E$9-H9</f>
        <v>3626124.9500000179</v>
      </c>
      <c r="J9" s="362">
        <f>SUM(J2:J8)</f>
        <v>173932290.5</v>
      </c>
      <c r="K9" s="356">
        <f>$E$9-J9</f>
        <v>3134350.4500000179</v>
      </c>
      <c r="L9" s="356">
        <f>SUM(L2:L8)</f>
        <v>154579108.10999998</v>
      </c>
      <c r="M9" s="356">
        <f>$E$9-L9</f>
        <v>22487532.840000033</v>
      </c>
      <c r="N9" s="356">
        <f>SUM(N2:N8)</f>
        <v>173755754</v>
      </c>
      <c r="O9" s="356">
        <f>$E$9-N9</f>
        <v>3310886.9500000179</v>
      </c>
      <c r="P9" s="356">
        <f>SUM(P2:P8)</f>
        <v>173614098</v>
      </c>
      <c r="Q9" s="356">
        <f>$E$9-P9</f>
        <v>3452542.9500000179</v>
      </c>
      <c r="R9" s="356">
        <f>SUM(R2:R8)</f>
        <v>171949440</v>
      </c>
      <c r="S9" s="356">
        <f>$E$9-R9</f>
        <v>5117200.9500000179</v>
      </c>
      <c r="T9" s="356">
        <f>SUM(T2:T8)</f>
        <v>374740975</v>
      </c>
      <c r="U9" s="356">
        <f>$E$9-T9</f>
        <v>-197674334.04999998</v>
      </c>
      <c r="V9" s="354">
        <f>SUM(V2:V8)</f>
        <v>177066640.95000002</v>
      </c>
      <c r="W9" s="356">
        <f>SUM(W2:W8)</f>
        <v>172746259.61000001</v>
      </c>
      <c r="X9" s="356">
        <f>$E$9-W9</f>
        <v>4320381.3400000036</v>
      </c>
      <c r="Y9" s="376">
        <f>SUM(Y2:Y8)</f>
        <v>0</v>
      </c>
      <c r="Z9" s="376">
        <f>$E$9-Y9</f>
        <v>177066640.95000002</v>
      </c>
    </row>
    <row r="10" spans="1:26" x14ac:dyDescent="0.25">
      <c r="A10" s="440" t="s">
        <v>136</v>
      </c>
      <c r="B10" s="440"/>
      <c r="C10" s="440"/>
      <c r="D10" s="7">
        <v>0.2</v>
      </c>
      <c r="E10" s="217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217"/>
      <c r="W10" s="355"/>
      <c r="X10" s="355"/>
      <c r="Y10" s="376"/>
      <c r="Z10" s="376"/>
    </row>
    <row r="11" spans="1:26" x14ac:dyDescent="0.25">
      <c r="A11" s="8"/>
      <c r="B11" s="8" t="s">
        <v>134</v>
      </c>
      <c r="C11" s="8"/>
      <c r="D11" s="9">
        <v>0.13</v>
      </c>
      <c r="E11" s="217">
        <v>23018663.323500004</v>
      </c>
      <c r="F11" s="355">
        <f>(F9*D11)</f>
        <v>22491565.788899999</v>
      </c>
      <c r="G11" s="355">
        <f>$E$11-F11</f>
        <v>527097.53460000455</v>
      </c>
      <c r="H11" s="355">
        <f>H9*$D$11</f>
        <v>22547267.080000002</v>
      </c>
      <c r="I11" s="355">
        <f>$E$11-H11</f>
        <v>471396.24350000173</v>
      </c>
      <c r="J11" s="355">
        <f>J9*D11</f>
        <v>22611197.765000001</v>
      </c>
      <c r="K11" s="355">
        <f>$E$11-J11</f>
        <v>407465.55850000307</v>
      </c>
      <c r="L11" s="355">
        <f>L9*D11</f>
        <v>20095284.054299999</v>
      </c>
      <c r="M11" s="355">
        <f>$E$11-L11</f>
        <v>2923379.2692000046</v>
      </c>
      <c r="N11" s="355">
        <f>N9*D11</f>
        <v>22588248.02</v>
      </c>
      <c r="O11" s="355">
        <f>$E$11-N11</f>
        <v>430415.30350000411</v>
      </c>
      <c r="P11" s="355">
        <f>P9*D11</f>
        <v>22569832.740000002</v>
      </c>
      <c r="Q11" s="355">
        <f>$E$11-P11</f>
        <v>448830.58350000158</v>
      </c>
      <c r="R11" s="355">
        <f>R9*D11</f>
        <v>22353427.199999999</v>
      </c>
      <c r="S11" s="355">
        <f>$E$11-R11</f>
        <v>665236.12350000441</v>
      </c>
      <c r="T11" s="355">
        <f>T9*D11</f>
        <v>48716326.75</v>
      </c>
      <c r="U11" s="355">
        <f>$E$11-T11</f>
        <v>-25697663.426499996</v>
      </c>
      <c r="V11" s="217">
        <v>23018663.323500004</v>
      </c>
      <c r="W11" s="355">
        <f>W9*D11</f>
        <v>22457013.749300003</v>
      </c>
      <c r="X11" s="355">
        <f>$E$11-W11</f>
        <v>561649.57420000061</v>
      </c>
      <c r="Y11" s="376">
        <f>Y9*D11</f>
        <v>0</v>
      </c>
      <c r="Z11" s="376">
        <f>$E$11-Y11</f>
        <v>23018663.323500004</v>
      </c>
    </row>
    <row r="12" spans="1:26" x14ac:dyDescent="0.25">
      <c r="A12" s="8"/>
      <c r="B12" s="8" t="s">
        <v>132</v>
      </c>
      <c r="C12" s="8"/>
      <c r="D12" s="7">
        <v>0.02</v>
      </c>
      <c r="E12" s="217">
        <v>3541332.8190000006</v>
      </c>
      <c r="F12" s="355">
        <f>F9*D12</f>
        <v>3460240.8906</v>
      </c>
      <c r="G12" s="355">
        <f>$E$12-F12</f>
        <v>81091.928400000557</v>
      </c>
      <c r="H12" s="355">
        <f>H9*$D$12</f>
        <v>3468810.3200000003</v>
      </c>
      <c r="I12" s="355">
        <f>$E$12-H12</f>
        <v>72522.499000000302</v>
      </c>
      <c r="J12" s="355">
        <f>J9*D12</f>
        <v>3478645.81</v>
      </c>
      <c r="K12" s="355">
        <f>$E$12-J12</f>
        <v>62687.009000000544</v>
      </c>
      <c r="L12" s="355">
        <f>L9*D12</f>
        <v>3091582.1621999997</v>
      </c>
      <c r="M12" s="355">
        <f>$E$12-L12</f>
        <v>449750.65680000093</v>
      </c>
      <c r="N12" s="355">
        <f>N9*D12</f>
        <v>3475115.08</v>
      </c>
      <c r="O12" s="355">
        <f>$E$12-N12</f>
        <v>66217.739000000525</v>
      </c>
      <c r="P12" s="355">
        <f>P9*D12</f>
        <v>3472281.96</v>
      </c>
      <c r="Q12" s="355">
        <f>$E$12-P12</f>
        <v>69050.859000000637</v>
      </c>
      <c r="R12" s="355">
        <f>R9*D12</f>
        <v>3438988.8000000003</v>
      </c>
      <c r="S12" s="355">
        <f>$E$12-R12</f>
        <v>102344.01900000032</v>
      </c>
      <c r="T12" s="355">
        <f>T9*D12</f>
        <v>7494819.5</v>
      </c>
      <c r="U12" s="355">
        <f>$E$12-T12</f>
        <v>-3953486.6809999994</v>
      </c>
      <c r="V12" s="217">
        <v>3541332.8190000006</v>
      </c>
      <c r="W12" s="355">
        <f>W9*D12</f>
        <v>3454925.1922000004</v>
      </c>
      <c r="X12" s="355">
        <f>$E$12-W12</f>
        <v>86407.626800000202</v>
      </c>
      <c r="Y12" s="376">
        <f>Y9*D12</f>
        <v>0</v>
      </c>
      <c r="Z12" s="376">
        <f>$E$12-Y12</f>
        <v>3541332.8190000006</v>
      </c>
    </row>
    <row r="13" spans="1:26" x14ac:dyDescent="0.25">
      <c r="A13" s="8"/>
      <c r="B13" s="8" t="s">
        <v>133</v>
      </c>
      <c r="C13" s="8"/>
      <c r="D13" s="7">
        <v>0.05</v>
      </c>
      <c r="E13" s="217">
        <v>8853332.0475000013</v>
      </c>
      <c r="F13" s="355">
        <f>F9*D13</f>
        <v>8650602.2265000008</v>
      </c>
      <c r="G13" s="355">
        <f>$E$13-F13</f>
        <v>202729.82100000046</v>
      </c>
      <c r="H13" s="355">
        <f>H9*$D$13</f>
        <v>8672025.8000000007</v>
      </c>
      <c r="I13" s="355">
        <f>$E$13-H13</f>
        <v>181306.24750000052</v>
      </c>
      <c r="J13" s="355">
        <f>J9*D13</f>
        <v>8696614.5250000004</v>
      </c>
      <c r="K13" s="355">
        <f>$E$13-J13</f>
        <v>156717.52250000089</v>
      </c>
      <c r="L13" s="355">
        <f>L9*D13</f>
        <v>7728955.4054999994</v>
      </c>
      <c r="M13" s="355">
        <f>$E$13-L13</f>
        <v>1124376.6420000019</v>
      </c>
      <c r="N13" s="355">
        <f>N9*D13</f>
        <v>8687787.7000000011</v>
      </c>
      <c r="O13" s="355">
        <f>$E$13-N13</f>
        <v>165544.34750000015</v>
      </c>
      <c r="P13" s="355">
        <f>P9*D13</f>
        <v>8680704.9000000004</v>
      </c>
      <c r="Q13" s="355">
        <f>$E$13-P13</f>
        <v>172627.14750000089</v>
      </c>
      <c r="R13" s="355">
        <f>R9*D13</f>
        <v>8597472</v>
      </c>
      <c r="S13" s="355">
        <f>$E$13-R13</f>
        <v>255860.04750000127</v>
      </c>
      <c r="T13" s="355">
        <f>T9*D13</f>
        <v>18737048.75</v>
      </c>
      <c r="U13" s="355">
        <f>$E$13-T13</f>
        <v>-9883716.7024999987</v>
      </c>
      <c r="V13" s="217">
        <v>8853332.0475000013</v>
      </c>
      <c r="W13" s="355">
        <f>W9*D13</f>
        <v>8637312.9805000015</v>
      </c>
      <c r="X13" s="355">
        <f>$E$13-W13</f>
        <v>216019.06699999981</v>
      </c>
      <c r="Y13" s="376">
        <f>Y9*D13</f>
        <v>0</v>
      </c>
      <c r="Z13" s="376">
        <f>$E$13-Y13</f>
        <v>8853332.0475000013</v>
      </c>
    </row>
    <row r="14" spans="1:26" x14ac:dyDescent="0.25">
      <c r="A14" s="8"/>
      <c r="B14" s="8" t="s">
        <v>135</v>
      </c>
      <c r="C14" s="8"/>
      <c r="D14" s="7">
        <v>0.19</v>
      </c>
      <c r="E14" s="217">
        <v>1682133.0890250003</v>
      </c>
      <c r="F14" s="355">
        <f>F13*D14</f>
        <v>1643614.4230350002</v>
      </c>
      <c r="G14" s="355">
        <f>$E$14-F14</f>
        <v>38518.665990000125</v>
      </c>
      <c r="H14" s="355">
        <f>H13*$D$14</f>
        <v>1647684.9020000002</v>
      </c>
      <c r="I14" s="355">
        <f>$E$14-H14</f>
        <v>34448.187025000108</v>
      </c>
      <c r="J14" s="355">
        <f>J13*D14</f>
        <v>1652356.7597500002</v>
      </c>
      <c r="K14" s="355">
        <f>$E$14-J14</f>
        <v>29776.329275000142</v>
      </c>
      <c r="L14" s="355">
        <f>L13*D14</f>
        <v>1468501.5270449999</v>
      </c>
      <c r="M14" s="355">
        <f>$E$14-L14</f>
        <v>213631.56198000046</v>
      </c>
      <c r="N14" s="355">
        <f>N13*D14</f>
        <v>1650679.6630000002</v>
      </c>
      <c r="O14" s="355">
        <f>$E$14-N14</f>
        <v>31453.426025000168</v>
      </c>
      <c r="P14" s="355">
        <f>P13*D14</f>
        <v>1649333.9310000001</v>
      </c>
      <c r="Q14" s="355">
        <f>$E$14-P14</f>
        <v>32799.158025000244</v>
      </c>
      <c r="R14" s="355">
        <f>R13*D14</f>
        <v>1633519.68</v>
      </c>
      <c r="S14" s="355">
        <f>$E$14-R14</f>
        <v>48613.409025000408</v>
      </c>
      <c r="T14" s="355">
        <f>T13*D14</f>
        <v>3560039.2625000002</v>
      </c>
      <c r="U14" s="355">
        <f>$E$14-T14</f>
        <v>-1877906.1734749998</v>
      </c>
      <c r="V14" s="217">
        <v>1682133.0890250003</v>
      </c>
      <c r="W14" s="355">
        <f>W13*D14</f>
        <v>1641089.4662950004</v>
      </c>
      <c r="X14" s="355">
        <f>$E$14-W14</f>
        <v>41043.622729999945</v>
      </c>
      <c r="Y14" s="376">
        <f>Y13*D14</f>
        <v>0</v>
      </c>
      <c r="Z14" s="376">
        <f>$E$14-Y14</f>
        <v>1682133.0890250003</v>
      </c>
    </row>
    <row r="15" spans="1:26" s="16" customFormat="1" x14ac:dyDescent="0.25">
      <c r="A15" s="13"/>
      <c r="B15" s="439" t="s">
        <v>129</v>
      </c>
      <c r="C15" s="439"/>
      <c r="D15" s="439"/>
      <c r="E15" s="354">
        <f>SUM(E11:E14)</f>
        <v>37095461.279025003</v>
      </c>
      <c r="F15" s="362">
        <f>SUM(F11:F14)</f>
        <v>36246023.329035006</v>
      </c>
      <c r="G15" s="356">
        <f>$E$15-F15</f>
        <v>849437.94998999685</v>
      </c>
      <c r="H15" s="356">
        <f>SUM(H11:H14)</f>
        <v>36335788.102000006</v>
      </c>
      <c r="I15" s="356">
        <f>$E$15-H15</f>
        <v>759673.17702499777</v>
      </c>
      <c r="J15" s="362">
        <f>SUM(J11:J14)</f>
        <v>36438814.859750003</v>
      </c>
      <c r="K15" s="356">
        <f>$E$15-J15</f>
        <v>656646.41927500069</v>
      </c>
      <c r="L15" s="362">
        <f>SUM(L11:L14)</f>
        <v>32384323.149044998</v>
      </c>
      <c r="M15" s="356">
        <f>$E$15-L15</f>
        <v>4711138.1299800053</v>
      </c>
      <c r="N15" s="356">
        <f>SUM(N11:N14)</f>
        <v>36401830.463000007</v>
      </c>
      <c r="O15" s="356">
        <f>$E$15-N15</f>
        <v>693630.81602499634</v>
      </c>
      <c r="P15" s="362">
        <f>SUM(P11:P14)</f>
        <v>36372153.531000003</v>
      </c>
      <c r="Q15" s="356">
        <f>$E$15-P15</f>
        <v>723307.7480250001</v>
      </c>
      <c r="R15" s="362">
        <f>SUM(R11:R14)</f>
        <v>36023407.68</v>
      </c>
      <c r="S15" s="356">
        <f>$E$15-R15</f>
        <v>1072053.5990250036</v>
      </c>
      <c r="T15" s="362">
        <f>SUM(T11:T14)</f>
        <v>78508234.262500003</v>
      </c>
      <c r="U15" s="356">
        <f>$E$15-T15</f>
        <v>-41412772.983475</v>
      </c>
      <c r="V15" s="354">
        <f>SUM(V11:V14)</f>
        <v>37095461.279025003</v>
      </c>
      <c r="W15" s="362">
        <f>SUM(W11:W14)</f>
        <v>36190341.38829501</v>
      </c>
      <c r="X15" s="356">
        <f>$E$15-W15</f>
        <v>905119.89072999358</v>
      </c>
      <c r="Y15" s="377">
        <f>SUM(Y11:Y14)</f>
        <v>0</v>
      </c>
      <c r="Z15" s="376">
        <f>$E$15-Y15</f>
        <v>37095461.279025003</v>
      </c>
    </row>
    <row r="16" spans="1:26" s="17" customFormat="1" ht="16.5" x14ac:dyDescent="0.25">
      <c r="A16" s="441" t="s">
        <v>130</v>
      </c>
      <c r="B16" s="441"/>
      <c r="C16" s="441"/>
      <c r="D16" s="441"/>
      <c r="E16" s="18">
        <f>E9+E15</f>
        <v>214162102.22902501</v>
      </c>
      <c r="F16" s="361">
        <f>F9+F15</f>
        <v>209258067.85903502</v>
      </c>
      <c r="G16" s="357">
        <f>$E$16-F16</f>
        <v>4904034.3699899912</v>
      </c>
      <c r="H16" s="357">
        <f>H9+H15</f>
        <v>209776304.102</v>
      </c>
      <c r="I16" s="357">
        <f>$E$16-H16</f>
        <v>4385798.1270250082</v>
      </c>
      <c r="J16" s="361">
        <f>J9+J15</f>
        <v>210371105.35975</v>
      </c>
      <c r="K16" s="357">
        <f>$E$16-J16</f>
        <v>3790996.8692750037</v>
      </c>
      <c r="L16" s="361">
        <f>L9+L15</f>
        <v>186963431.25904498</v>
      </c>
      <c r="M16" s="357">
        <f>$E$16-L16</f>
        <v>27198670.969980031</v>
      </c>
      <c r="N16" s="357">
        <f>N9+N15</f>
        <v>210157584.463</v>
      </c>
      <c r="O16" s="357">
        <f>$E$16-N16</f>
        <v>4004517.7660250068</v>
      </c>
      <c r="P16" s="361">
        <f>P9+P15</f>
        <v>209986251.53100002</v>
      </c>
      <c r="Q16" s="357">
        <f>$E$16-P16</f>
        <v>4175850.6980249882</v>
      </c>
      <c r="R16" s="361">
        <f>R9+R15</f>
        <v>207972847.68000001</v>
      </c>
      <c r="S16" s="357">
        <f>$E$16-R16</f>
        <v>6189254.5490249991</v>
      </c>
      <c r="T16" s="361">
        <f>T9+T15</f>
        <v>453249209.26249999</v>
      </c>
      <c r="U16" s="357">
        <f>$E$16-T16</f>
        <v>-239087107.03347498</v>
      </c>
      <c r="V16" s="18">
        <f>V9+V15</f>
        <v>214162102.22902501</v>
      </c>
      <c r="W16" s="361">
        <f>W9+W15</f>
        <v>208936600.99829501</v>
      </c>
      <c r="X16" s="357">
        <f>$E$16-W16</f>
        <v>5225501.2307299972</v>
      </c>
      <c r="Y16" s="377">
        <f>Y9+Y15</f>
        <v>0</v>
      </c>
      <c r="Z16" s="376">
        <f>$E$16-Y16</f>
        <v>214162102.22902501</v>
      </c>
    </row>
    <row r="17" spans="1:26" x14ac:dyDescent="0.25">
      <c r="F17" s="23"/>
      <c r="H17" s="23"/>
      <c r="J17" s="23"/>
      <c r="L17" s="23"/>
      <c r="N17" s="23"/>
      <c r="P17" s="23"/>
      <c r="R17" s="23"/>
      <c r="T17" s="23"/>
      <c r="W17" s="23"/>
      <c r="Y17" s="378"/>
    </row>
    <row r="18" spans="1:26" x14ac:dyDescent="0.25">
      <c r="F18" s="23"/>
      <c r="H18" s="23"/>
      <c r="J18" s="23"/>
      <c r="L18" s="23"/>
      <c r="N18" s="23"/>
      <c r="P18" s="23"/>
      <c r="R18" s="23"/>
      <c r="T18" s="23"/>
      <c r="W18" s="23"/>
      <c r="Y18" s="378"/>
    </row>
    <row r="19" spans="1:26" ht="67.5" x14ac:dyDescent="0.25">
      <c r="A19" s="11" t="s">
        <v>127</v>
      </c>
      <c r="B19" s="12" t="s">
        <v>7</v>
      </c>
      <c r="C19" s="12" t="s">
        <v>4</v>
      </c>
      <c r="D19" s="12" t="s">
        <v>138</v>
      </c>
      <c r="E19" s="14" t="s">
        <v>137</v>
      </c>
      <c r="F19" s="12" t="str">
        <f>F1</f>
        <v>CONSTRUCAM CONSTRUCCIONES S.A.S.</v>
      </c>
      <c r="G19" s="12" t="s">
        <v>271</v>
      </c>
      <c r="H19" s="12" t="str">
        <f>H1</f>
        <v>GMA Construcciones SAS</v>
      </c>
      <c r="I19" s="12" t="s">
        <v>271</v>
      </c>
      <c r="J19" s="12" t="str">
        <f>J1</f>
        <v>CBC INGENIERIA CIVIL Y MANTENIMIENTO SAS</v>
      </c>
      <c r="K19" s="12" t="s">
        <v>271</v>
      </c>
      <c r="L19" s="12" t="str">
        <f>L1</f>
        <v>ADRIANA ELENA ALVAREZ RIVERA</v>
      </c>
      <c r="M19" s="12" t="s">
        <v>271</v>
      </c>
      <c r="N19" s="12" t="str">
        <f>N1</f>
        <v>CONSORCIO SINARCO 1</v>
      </c>
      <c r="O19" s="12" t="s">
        <v>271</v>
      </c>
      <c r="P19" s="12" t="str">
        <f>P1</f>
        <v>CONSORCIO CYD</v>
      </c>
      <c r="Q19" s="12" t="s">
        <v>271</v>
      </c>
      <c r="R19" s="12" t="str">
        <f>R1</f>
        <v>CONSORCIO O&amp;VAL</v>
      </c>
      <c r="S19" s="12" t="s">
        <v>271</v>
      </c>
      <c r="T19" s="12" t="str">
        <f>T1</f>
        <v>CAMPO ARQUITECTONICO SAS</v>
      </c>
      <c r="U19" s="12" t="s">
        <v>271</v>
      </c>
      <c r="V19" s="14" t="s">
        <v>137</v>
      </c>
      <c r="W19" s="12" t="str">
        <f>W1</f>
        <v>CONSTRUCCIONES C&amp;G SAS</v>
      </c>
      <c r="X19" s="12" t="s">
        <v>271</v>
      </c>
      <c r="Y19" s="375">
        <f>Y1</f>
        <v>30</v>
      </c>
      <c r="Z19" s="375" t="s">
        <v>271</v>
      </c>
    </row>
    <row r="20" spans="1:26" x14ac:dyDescent="0.25">
      <c r="A20" s="216">
        <v>1</v>
      </c>
      <c r="B20" s="5" t="s">
        <v>163</v>
      </c>
      <c r="C20" s="6" t="s">
        <v>4</v>
      </c>
      <c r="D20" s="3">
        <v>1</v>
      </c>
      <c r="E20" s="217">
        <v>1735185.7000000002</v>
      </c>
      <c r="F20" s="355">
        <v>1694063</v>
      </c>
      <c r="G20" s="355">
        <f>$E$20-F20</f>
        <v>41122.700000000186</v>
      </c>
      <c r="H20" s="355">
        <v>1643019</v>
      </c>
      <c r="I20" s="355">
        <f>$E$20-H20</f>
        <v>92166.700000000186</v>
      </c>
      <c r="J20" s="355">
        <v>1704471</v>
      </c>
      <c r="K20" s="355">
        <f>$E$20-J20</f>
        <v>30714.700000000186</v>
      </c>
      <c r="L20" s="355">
        <v>1514820</v>
      </c>
      <c r="M20" s="355">
        <f>$E$20-L20</f>
        <v>220365.70000000019</v>
      </c>
      <c r="N20" s="355">
        <v>1702735</v>
      </c>
      <c r="O20" s="355">
        <f>$E$20-N20</f>
        <v>32450.700000000186</v>
      </c>
      <c r="P20" s="355">
        <v>1701354</v>
      </c>
      <c r="Q20" s="355">
        <f>$E$20-P20</f>
        <v>33831.700000000186</v>
      </c>
      <c r="R20" s="355">
        <v>1685046</v>
      </c>
      <c r="S20" s="355">
        <f>$E$20-R20</f>
        <v>50139.700000000186</v>
      </c>
      <c r="T20" s="355">
        <v>3340900</v>
      </c>
      <c r="U20" s="355">
        <f>$E$20-T20</f>
        <v>-1605714.2999999998</v>
      </c>
      <c r="V20" s="217">
        <v>1735185.7000000002</v>
      </c>
      <c r="W20" s="355">
        <v>1692850</v>
      </c>
      <c r="X20" s="355">
        <f>$E$20-W20</f>
        <v>42335.700000000186</v>
      </c>
      <c r="Y20" s="376"/>
      <c r="Z20" s="376">
        <f>$E$20-Y20</f>
        <v>1735185.7000000002</v>
      </c>
    </row>
    <row r="21" spans="1:26" x14ac:dyDescent="0.25">
      <c r="A21" s="216">
        <v>2</v>
      </c>
      <c r="B21" s="5" t="s">
        <v>164</v>
      </c>
      <c r="C21" s="6" t="s">
        <v>4</v>
      </c>
      <c r="D21" s="3">
        <v>1</v>
      </c>
      <c r="E21" s="217">
        <v>2304172.5</v>
      </c>
      <c r="F21" s="355">
        <v>2249565</v>
      </c>
      <c r="G21" s="355">
        <f>$E$21-F21</f>
        <v>54607.5</v>
      </c>
      <c r="H21" s="355">
        <v>2278825</v>
      </c>
      <c r="I21" s="355">
        <f>$E$21-H21</f>
        <v>25347.5</v>
      </c>
      <c r="J21" s="355">
        <v>2263389</v>
      </c>
      <c r="K21" s="355">
        <f>$E$21-J21</f>
        <v>40783.5</v>
      </c>
      <c r="L21" s="355">
        <v>2011543</v>
      </c>
      <c r="M21" s="355">
        <f>$E$21-L21</f>
        <v>292629.5</v>
      </c>
      <c r="N21" s="355">
        <v>2261086</v>
      </c>
      <c r="O21" s="355">
        <f>$E$21-N21</f>
        <v>43086.5</v>
      </c>
      <c r="P21" s="355">
        <v>2259243</v>
      </c>
      <c r="Q21" s="355">
        <f>$E$21-P21</f>
        <v>44929.5</v>
      </c>
      <c r="R21" s="355">
        <v>2237582</v>
      </c>
      <c r="S21" s="355">
        <f>$E$21-R21</f>
        <v>66590.5</v>
      </c>
      <c r="T21" s="355">
        <v>5070000</v>
      </c>
      <c r="U21" s="355">
        <f>$E$21-T21</f>
        <v>-2765827.5</v>
      </c>
      <c r="V21" s="217">
        <v>2304172.5</v>
      </c>
      <c r="W21" s="355">
        <v>2247952</v>
      </c>
      <c r="X21" s="355">
        <f>$E$21-W21</f>
        <v>56220.5</v>
      </c>
      <c r="Y21" s="376"/>
      <c r="Z21" s="376">
        <f>$E$21-Y21</f>
        <v>2304172.5</v>
      </c>
    </row>
    <row r="22" spans="1:26" x14ac:dyDescent="0.25">
      <c r="A22" s="216">
        <v>3</v>
      </c>
      <c r="B22" s="5" t="s">
        <v>167</v>
      </c>
      <c r="C22" s="6" t="s">
        <v>4</v>
      </c>
      <c r="D22" s="3">
        <v>1</v>
      </c>
      <c r="E22" s="217">
        <v>154385.60000000001</v>
      </c>
      <c r="F22" s="355">
        <v>150726</v>
      </c>
      <c r="G22" s="355">
        <f>$E$22-F22</f>
        <v>3659.6000000000058</v>
      </c>
      <c r="H22" s="355">
        <v>152685</v>
      </c>
      <c r="I22" s="355">
        <f>$E$22-H22</f>
        <v>1700.6000000000058</v>
      </c>
      <c r="J22" s="355">
        <v>151653</v>
      </c>
      <c r="K22" s="355">
        <f>$E$22-J22</f>
        <v>2732.6000000000058</v>
      </c>
      <c r="L22" s="355">
        <v>134778</v>
      </c>
      <c r="M22" s="355">
        <f>$E$22-L22</f>
        <v>19607.600000000006</v>
      </c>
      <c r="N22" s="355">
        <v>151498</v>
      </c>
      <c r="O22" s="355">
        <f>$E$22-N22</f>
        <v>2887.6000000000058</v>
      </c>
      <c r="P22" s="355">
        <v>151374</v>
      </c>
      <c r="Q22" s="355">
        <f>$E$22-P22</f>
        <v>3011.6000000000058</v>
      </c>
      <c r="R22" s="355">
        <v>149924</v>
      </c>
      <c r="S22" s="355">
        <f>$E$22-R22</f>
        <v>4461.6000000000058</v>
      </c>
      <c r="T22" s="355">
        <v>163100</v>
      </c>
      <c r="U22" s="355">
        <f>$E$22-T22</f>
        <v>-8714.3999999999942</v>
      </c>
      <c r="V22" s="217">
        <v>154385.60000000001</v>
      </c>
      <c r="W22" s="355">
        <v>150618</v>
      </c>
      <c r="X22" s="355">
        <f>$E$22-W22</f>
        <v>3767.6000000000058</v>
      </c>
      <c r="Y22" s="376"/>
      <c r="Z22" s="376">
        <f>$E$22-Y22</f>
        <v>154385.60000000001</v>
      </c>
    </row>
    <row r="23" spans="1:26" x14ac:dyDescent="0.25">
      <c r="A23" s="216">
        <v>4</v>
      </c>
      <c r="B23" s="5" t="s">
        <v>169</v>
      </c>
      <c r="C23" s="6" t="s">
        <v>4</v>
      </c>
      <c r="D23" s="3">
        <v>1</v>
      </c>
      <c r="E23" s="217">
        <v>170031.065</v>
      </c>
      <c r="F23" s="355">
        <v>166001</v>
      </c>
      <c r="G23" s="355">
        <f>$E$23-F23</f>
        <v>4030.0650000000023</v>
      </c>
      <c r="H23" s="355">
        <v>163197</v>
      </c>
      <c r="I23" s="355">
        <f>$E$23-H23</f>
        <v>6834.0650000000023</v>
      </c>
      <c r="J23" s="355">
        <v>167021</v>
      </c>
      <c r="K23" s="355">
        <f>$E$23-J23</f>
        <v>3010.0650000000023</v>
      </c>
      <c r="L23" s="355">
        <v>148437</v>
      </c>
      <c r="M23" s="355">
        <f>$E$23-L23</f>
        <v>21594.065000000002</v>
      </c>
      <c r="N23" s="355">
        <v>166851</v>
      </c>
      <c r="O23" s="355">
        <f>$E$23-N23</f>
        <v>3180.0650000000023</v>
      </c>
      <c r="P23" s="355">
        <v>166716</v>
      </c>
      <c r="Q23" s="355">
        <f>$E$23-P23</f>
        <v>3315.0650000000023</v>
      </c>
      <c r="R23" s="355">
        <v>165117</v>
      </c>
      <c r="S23" s="355">
        <f>$E$23-R23</f>
        <v>4914.0650000000023</v>
      </c>
      <c r="T23" s="355">
        <v>291900</v>
      </c>
      <c r="U23" s="355">
        <f>$E$23-T23</f>
        <v>-121868.935</v>
      </c>
      <c r="V23" s="217">
        <v>170031.065</v>
      </c>
      <c r="W23" s="355">
        <v>165882</v>
      </c>
      <c r="X23" s="355">
        <f>$E$23-W23</f>
        <v>4149.0650000000023</v>
      </c>
      <c r="Y23" s="376"/>
      <c r="Z23" s="376">
        <f>$E$23-Y23</f>
        <v>170031.065</v>
      </c>
    </row>
    <row r="24" spans="1:26" x14ac:dyDescent="0.25">
      <c r="A24" s="216">
        <v>5</v>
      </c>
      <c r="B24" s="5" t="s">
        <v>185</v>
      </c>
      <c r="C24" s="6" t="s">
        <v>4</v>
      </c>
      <c r="D24" s="3">
        <v>1</v>
      </c>
      <c r="E24" s="217">
        <v>2993035.75</v>
      </c>
      <c r="F24" s="355">
        <v>2922101</v>
      </c>
      <c r="G24" s="355">
        <f>$E$24-F24</f>
        <v>70934.75</v>
      </c>
      <c r="H24" s="355">
        <v>2956070</v>
      </c>
      <c r="I24" s="355">
        <f>$E$24-H24</f>
        <v>36965.75</v>
      </c>
      <c r="J24" s="355">
        <v>2940058</v>
      </c>
      <c r="K24" s="355">
        <f>$E$24-J24</f>
        <v>52977.75</v>
      </c>
      <c r="L24" s="355">
        <v>2612921</v>
      </c>
      <c r="M24" s="355">
        <f>$E$24-L24</f>
        <v>380114.75</v>
      </c>
      <c r="N24" s="355">
        <v>2937065</v>
      </c>
      <c r="O24" s="355">
        <f>$E$24-N24</f>
        <v>55970.75</v>
      </c>
      <c r="P24" s="355">
        <v>2934674</v>
      </c>
      <c r="Q24" s="355">
        <f>$E$24-P24</f>
        <v>58361.75</v>
      </c>
      <c r="R24" s="355">
        <v>2906538</v>
      </c>
      <c r="S24" s="355">
        <f>$E$24-R24</f>
        <v>86497.75</v>
      </c>
      <c r="T24" s="355">
        <v>5770050</v>
      </c>
      <c r="U24" s="355">
        <f>$E$24-T24</f>
        <v>-2777014.25</v>
      </c>
      <c r="V24" s="217">
        <v>2993035.75</v>
      </c>
      <c r="W24" s="355">
        <v>2920009</v>
      </c>
      <c r="X24" s="355">
        <f>$E$24-W24</f>
        <v>73026.75</v>
      </c>
      <c r="Y24" s="376"/>
      <c r="Z24" s="376">
        <f>$E$24-Y24</f>
        <v>2993035.75</v>
      </c>
    </row>
    <row r="25" spans="1:26" ht="27" x14ac:dyDescent="0.25">
      <c r="A25" s="216">
        <v>6</v>
      </c>
      <c r="B25" s="5" t="s">
        <v>201</v>
      </c>
      <c r="C25" s="6" t="s">
        <v>4</v>
      </c>
      <c r="D25" s="3">
        <v>1</v>
      </c>
      <c r="E25" s="217">
        <v>8807702.4499999993</v>
      </c>
      <c r="F25" s="355">
        <v>8598962</v>
      </c>
      <c r="G25" s="355">
        <f>$E$25-F25</f>
        <v>208740.44999999925</v>
      </c>
      <c r="H25" s="355">
        <v>8621966</v>
      </c>
      <c r="I25" s="355">
        <f>$E$25-H25</f>
        <v>185736.44999999925</v>
      </c>
      <c r="J25" s="355">
        <v>8651808</v>
      </c>
      <c r="K25" s="355">
        <f>$E$25-J25</f>
        <v>155894.44999999925</v>
      </c>
      <c r="L25" s="355">
        <v>7689127</v>
      </c>
      <c r="M25" s="355">
        <f>$E$25-L25</f>
        <v>1118575.4499999993</v>
      </c>
      <c r="N25" s="355">
        <v>8643000</v>
      </c>
      <c r="O25" s="355">
        <f>$E$25-N25</f>
        <v>164702.44999999925</v>
      </c>
      <c r="P25" s="355">
        <v>8635954</v>
      </c>
      <c r="Q25" s="355">
        <f>$E$25-P25</f>
        <v>171748.44999999925</v>
      </c>
      <c r="R25" s="355">
        <v>8553161</v>
      </c>
      <c r="S25" s="355">
        <f>$E$25-R25</f>
        <v>254541.44999999925</v>
      </c>
      <c r="T25" s="355">
        <v>15122000</v>
      </c>
      <c r="U25" s="355">
        <f>$E$25-T25</f>
        <v>-6314297.5500000007</v>
      </c>
      <c r="V25" s="217">
        <v>8807702.4499999993</v>
      </c>
      <c r="W25" s="355">
        <v>8592798</v>
      </c>
      <c r="X25" s="355">
        <f>$E$25-W25</f>
        <v>214904.44999999925</v>
      </c>
      <c r="Y25" s="376"/>
      <c r="Z25" s="376">
        <f>$E$25-Y25</f>
        <v>8807702.4499999993</v>
      </c>
    </row>
    <row r="26" spans="1:26" ht="27" x14ac:dyDescent="0.25">
      <c r="A26" s="216">
        <v>7</v>
      </c>
      <c r="B26" s="5" t="s">
        <v>367</v>
      </c>
      <c r="C26" s="6" t="s">
        <v>4</v>
      </c>
      <c r="D26" s="3">
        <v>1</v>
      </c>
      <c r="E26" s="217">
        <v>1620701.3000000003</v>
      </c>
      <c r="F26" s="355">
        <v>1582289</v>
      </c>
      <c r="G26" s="355">
        <f>$E$26-F26</f>
        <v>38412.300000000279</v>
      </c>
      <c r="H26" s="355">
        <v>1602859</v>
      </c>
      <c r="I26" s="355">
        <f>$E$26-H26</f>
        <v>17842.300000000279</v>
      </c>
      <c r="J26" s="355">
        <v>1592015</v>
      </c>
      <c r="K26" s="355">
        <f>$E$26-J26</f>
        <v>28686.300000000279</v>
      </c>
      <c r="L26" s="355">
        <v>1414875</v>
      </c>
      <c r="M26" s="355">
        <f>$E$26-L26</f>
        <v>205826.30000000028</v>
      </c>
      <c r="N26" s="355">
        <v>1590393</v>
      </c>
      <c r="O26" s="355">
        <f>$E$26-N26</f>
        <v>30308.300000000279</v>
      </c>
      <c r="P26" s="355">
        <v>1589096</v>
      </c>
      <c r="Q26" s="355">
        <f>$E$26-P26</f>
        <v>31605.300000000279</v>
      </c>
      <c r="R26" s="355">
        <v>1573864</v>
      </c>
      <c r="S26" s="355">
        <f>$E$26-R26</f>
        <v>46837.300000000279</v>
      </c>
      <c r="T26" s="355">
        <v>3051600</v>
      </c>
      <c r="U26" s="355">
        <f>$E$26-T26</f>
        <v>-1430898.6999999997</v>
      </c>
      <c r="V26" s="217">
        <v>1620701.3</v>
      </c>
      <c r="W26" s="355">
        <v>1581155</v>
      </c>
      <c r="X26" s="355">
        <f>$E$26-W26</f>
        <v>39546.300000000279</v>
      </c>
      <c r="Y26" s="376"/>
      <c r="Z26" s="376">
        <f>$E$26-Y26</f>
        <v>1620701.3000000003</v>
      </c>
    </row>
    <row r="27" spans="1:26" x14ac:dyDescent="0.25">
      <c r="A27" s="216">
        <v>8</v>
      </c>
      <c r="B27" s="4" t="s">
        <v>216</v>
      </c>
      <c r="C27" s="6" t="s">
        <v>4</v>
      </c>
      <c r="D27" s="3">
        <v>1</v>
      </c>
      <c r="E27" s="217">
        <v>892909.04999999993</v>
      </c>
      <c r="F27" s="355">
        <v>871746</v>
      </c>
      <c r="G27" s="355">
        <f>$E$27-F27</f>
        <v>21163.04999999993</v>
      </c>
      <c r="H27" s="355">
        <v>883079</v>
      </c>
      <c r="I27" s="355">
        <f>$E$27-H27</f>
        <v>9830.0499999999302</v>
      </c>
      <c r="J27" s="355">
        <v>877106</v>
      </c>
      <c r="K27" s="355">
        <f>$E$27-J27</f>
        <v>15803.04999999993</v>
      </c>
      <c r="L27" s="355">
        <v>779511</v>
      </c>
      <c r="M27" s="355">
        <f>$E$27-L27</f>
        <v>113398.04999999993</v>
      </c>
      <c r="N27" s="355">
        <v>876212</v>
      </c>
      <c r="O27" s="355">
        <f>$E$27-N27</f>
        <v>16697.04999999993</v>
      </c>
      <c r="P27" s="355">
        <v>875497</v>
      </c>
      <c r="Q27" s="355">
        <f>$E$27-P27</f>
        <v>17412.04999999993</v>
      </c>
      <c r="R27" s="355">
        <v>867104</v>
      </c>
      <c r="S27" s="355">
        <f>$E$27-R27</f>
        <v>25805.04999999993</v>
      </c>
      <c r="T27" s="355">
        <v>2952500</v>
      </c>
      <c r="U27" s="355">
        <f>$E$27-T27</f>
        <v>-2059590.9500000002</v>
      </c>
      <c r="V27" s="217">
        <v>892909.04999999993</v>
      </c>
      <c r="W27" s="355">
        <v>871122</v>
      </c>
      <c r="X27" s="355">
        <f>$E$27-W27</f>
        <v>21787.04999999993</v>
      </c>
      <c r="Y27" s="376"/>
      <c r="Z27" s="376">
        <f>$E$27-Y27</f>
        <v>892909.04999999993</v>
      </c>
    </row>
    <row r="28" spans="1:26" ht="27" x14ac:dyDescent="0.25">
      <c r="A28" s="216">
        <v>9</v>
      </c>
      <c r="B28" s="4" t="s">
        <v>241</v>
      </c>
      <c r="C28" s="6" t="s">
        <v>4</v>
      </c>
      <c r="D28" s="3">
        <v>1</v>
      </c>
      <c r="E28" s="217">
        <v>8239266.8000000007</v>
      </c>
      <c r="F28" s="355">
        <v>8043999</v>
      </c>
      <c r="G28" s="355">
        <f>$E$28-F28</f>
        <v>195267.80000000075</v>
      </c>
      <c r="H28" s="355">
        <v>8045095</v>
      </c>
      <c r="I28" s="355">
        <f>$E$28-H28</f>
        <v>194171.80000000075</v>
      </c>
      <c r="J28" s="355">
        <v>8093434</v>
      </c>
      <c r="K28" s="355">
        <f>$E$28-J28</f>
        <v>145832.80000000075</v>
      </c>
      <c r="L28" s="355">
        <v>7192883</v>
      </c>
      <c r="M28" s="355">
        <f>$E$28-L28</f>
        <v>1046383.8000000007</v>
      </c>
      <c r="N28" s="355">
        <v>8085195</v>
      </c>
      <c r="O28" s="355">
        <f>$E$28-N28</f>
        <v>154071.80000000075</v>
      </c>
      <c r="P28" s="355">
        <v>8078604</v>
      </c>
      <c r="Q28" s="355">
        <f>$E$28-P28</f>
        <v>160662.80000000075</v>
      </c>
      <c r="R28" s="355">
        <v>8001156</v>
      </c>
      <c r="S28" s="355">
        <f>$E$28-R28</f>
        <v>238110.80000000075</v>
      </c>
      <c r="T28" s="355">
        <v>18294400</v>
      </c>
      <c r="U28" s="355">
        <f>$E$28-T28</f>
        <v>-10055133.199999999</v>
      </c>
      <c r="V28" s="217">
        <v>8239266.8000000007</v>
      </c>
      <c r="W28" s="355">
        <v>8038230</v>
      </c>
      <c r="X28" s="355">
        <f>$E$28-W28</f>
        <v>201036.80000000075</v>
      </c>
      <c r="Y28" s="376"/>
      <c r="Z28" s="376">
        <f>$E$28-Y28</f>
        <v>8239266.8000000007</v>
      </c>
    </row>
    <row r="29" spans="1:26" ht="27" x14ac:dyDescent="0.25">
      <c r="A29" s="216">
        <v>10</v>
      </c>
      <c r="B29" s="4" t="s">
        <v>252</v>
      </c>
      <c r="C29" s="6" t="s">
        <v>4</v>
      </c>
      <c r="D29" s="3">
        <v>1</v>
      </c>
      <c r="E29" s="217">
        <v>7372103.9999999991</v>
      </c>
      <c r="F29" s="355">
        <v>7197392</v>
      </c>
      <c r="G29" s="355">
        <f>$E$29-F29</f>
        <v>174711.99999999907</v>
      </c>
      <c r="H29" s="355">
        <v>7154869</v>
      </c>
      <c r="I29" s="355">
        <f>$E$29-H29</f>
        <v>217234.99999999907</v>
      </c>
      <c r="J29" s="355">
        <v>7241622</v>
      </c>
      <c r="K29" s="355">
        <f>$E$29-J29</f>
        <v>130481.99999999907</v>
      </c>
      <c r="L29" s="355">
        <v>6435848</v>
      </c>
      <c r="M29" s="355">
        <f>$E$29-L29</f>
        <v>936255.99999999907</v>
      </c>
      <c r="N29" s="355">
        <v>7234246</v>
      </c>
      <c r="O29" s="355">
        <f>$E$29-N29</f>
        <v>137857.99999999907</v>
      </c>
      <c r="P29" s="355">
        <v>7228353</v>
      </c>
      <c r="Q29" s="355">
        <f>$E$29-P29</f>
        <v>143750.99999999907</v>
      </c>
      <c r="R29" s="355">
        <v>7159051</v>
      </c>
      <c r="S29" s="355">
        <f>$E$29-R29</f>
        <v>213052.99999999907</v>
      </c>
      <c r="T29" s="355">
        <v>20035785</v>
      </c>
      <c r="U29" s="355">
        <f>$E$29-T29</f>
        <v>-12663681</v>
      </c>
      <c r="V29" s="217">
        <v>7372103.9999999991</v>
      </c>
      <c r="W29" s="355">
        <v>7192228</v>
      </c>
      <c r="X29" s="355">
        <f>$E$29-W29</f>
        <v>179875.99999999907</v>
      </c>
      <c r="Y29" s="376"/>
      <c r="Z29" s="376">
        <f>$E$29-Y29</f>
        <v>7372103.9999999991</v>
      </c>
    </row>
    <row r="30" spans="1:26" x14ac:dyDescent="0.25">
      <c r="A30" s="216">
        <v>11</v>
      </c>
      <c r="B30" s="5" t="s">
        <v>258</v>
      </c>
      <c r="C30" s="6" t="s">
        <v>4</v>
      </c>
      <c r="D30" s="3">
        <v>1</v>
      </c>
      <c r="E30" s="217">
        <v>3498106.95</v>
      </c>
      <c r="F30" s="355">
        <v>3415201</v>
      </c>
      <c r="G30" s="355">
        <f>$E$30-F30</f>
        <v>82905.950000000186</v>
      </c>
      <c r="H30" s="355">
        <v>3459625</v>
      </c>
      <c r="I30" s="355">
        <f>$E$30-H30</f>
        <v>38481.950000000186</v>
      </c>
      <c r="J30" s="355">
        <v>3436191</v>
      </c>
      <c r="K30" s="355">
        <f>$E$30-J30</f>
        <v>61915.950000000186</v>
      </c>
      <c r="L30" s="355">
        <v>3053847</v>
      </c>
      <c r="M30" s="355">
        <f>$E$30-L30</f>
        <v>444259.95000000019</v>
      </c>
      <c r="N30" s="355">
        <v>3432693</v>
      </c>
      <c r="O30" s="355">
        <f>$E$30-N30</f>
        <v>65413.950000000186</v>
      </c>
      <c r="P30" s="355">
        <v>3429893</v>
      </c>
      <c r="Q30" s="355">
        <f>$E$30-P30</f>
        <v>68213.950000000186</v>
      </c>
      <c r="R30" s="355">
        <v>3397012</v>
      </c>
      <c r="S30" s="355">
        <f>$E$30-R30</f>
        <v>101094.95000000019</v>
      </c>
      <c r="T30" s="355">
        <v>7575500</v>
      </c>
      <c r="U30" s="355">
        <f>$E$30-T30</f>
        <v>-4077393.05</v>
      </c>
      <c r="V30" s="217">
        <v>3498106.95</v>
      </c>
      <c r="W30" s="355">
        <v>3412753</v>
      </c>
      <c r="X30" s="355">
        <f>$E$30-W30</f>
        <v>85353.950000000186</v>
      </c>
      <c r="Y30" s="376"/>
      <c r="Z30" s="376">
        <f>$E$30-Y30</f>
        <v>3498106.95</v>
      </c>
    </row>
    <row r="31" spans="1:26" ht="27" x14ac:dyDescent="0.25">
      <c r="A31" s="216">
        <v>12</v>
      </c>
      <c r="B31" s="5" t="s">
        <v>262</v>
      </c>
      <c r="C31" s="6" t="s">
        <v>4</v>
      </c>
      <c r="D31" s="3">
        <v>1</v>
      </c>
      <c r="E31" s="217">
        <v>217729.05000000002</v>
      </c>
      <c r="F31" s="355">
        <v>212567</v>
      </c>
      <c r="G31" s="355">
        <f>$E$31-F31</f>
        <v>5162.0500000000175</v>
      </c>
      <c r="H31" s="355">
        <v>211618</v>
      </c>
      <c r="I31" s="355">
        <f>$E$31-H31</f>
        <v>6111.0500000000175</v>
      </c>
      <c r="J31" s="355">
        <v>213874</v>
      </c>
      <c r="K31" s="355">
        <f>$E$31-J31</f>
        <v>3855.0500000000175</v>
      </c>
      <c r="L31" s="355">
        <v>190076</v>
      </c>
      <c r="M31" s="355">
        <f>$E$31-L31</f>
        <v>27653.050000000017</v>
      </c>
      <c r="N31" s="355">
        <v>213655</v>
      </c>
      <c r="O31" s="355">
        <f>$E$31-N31</f>
        <v>4074.0500000000175</v>
      </c>
      <c r="P31" s="355">
        <v>213482</v>
      </c>
      <c r="Q31" s="355">
        <f>$E$31-P31</f>
        <v>4247.0500000000175</v>
      </c>
      <c r="R31" s="355">
        <v>211436</v>
      </c>
      <c r="S31" s="355">
        <f>$E$31-R31</f>
        <v>6293.0500000000175</v>
      </c>
      <c r="T31" s="355">
        <v>424000</v>
      </c>
      <c r="U31" s="355">
        <f>$E$31-T31</f>
        <v>-206270.94999999998</v>
      </c>
      <c r="V31" s="217">
        <v>217729.05000000002</v>
      </c>
      <c r="W31" s="355">
        <v>212414</v>
      </c>
      <c r="X31" s="355">
        <f>$E$31-W31</f>
        <v>5315.0500000000175</v>
      </c>
      <c r="Y31" s="376"/>
      <c r="Z31" s="376">
        <f>$E$31-Y31</f>
        <v>217729.05000000002</v>
      </c>
    </row>
    <row r="32" spans="1:26" x14ac:dyDescent="0.25">
      <c r="A32" s="439" t="s">
        <v>128</v>
      </c>
      <c r="B32" s="439"/>
      <c r="C32" s="439"/>
      <c r="D32" s="439"/>
      <c r="E32" s="354">
        <v>38005344</v>
      </c>
      <c r="F32" s="356">
        <f>SUM(F20:F31)</f>
        <v>37104612</v>
      </c>
      <c r="G32" s="356">
        <f>$E$32-F32</f>
        <v>900732</v>
      </c>
      <c r="H32" s="362">
        <f>SUM(H20:H31)</f>
        <v>37172907</v>
      </c>
      <c r="I32" s="356">
        <f>$E$32-H32</f>
        <v>832437</v>
      </c>
      <c r="J32" s="362">
        <f>SUM(J20:J31)</f>
        <v>37332642</v>
      </c>
      <c r="K32" s="356">
        <f>$E$32-J32</f>
        <v>672702</v>
      </c>
      <c r="L32" s="362">
        <f>SUM(L20:L31)</f>
        <v>33178666</v>
      </c>
      <c r="M32" s="356">
        <f>$E$32-L32</f>
        <v>4826678</v>
      </c>
      <c r="N32" s="362">
        <f>SUM(N20:N31)</f>
        <v>37294629</v>
      </c>
      <c r="O32" s="356">
        <f>$E$32-N32</f>
        <v>710715</v>
      </c>
      <c r="P32" s="356">
        <f>SUM(P20:P31)</f>
        <v>37264240</v>
      </c>
      <c r="Q32" s="356">
        <f>$E$32-P32</f>
        <v>741104</v>
      </c>
      <c r="R32" s="356">
        <f>SUM(R20:R31)</f>
        <v>36906991</v>
      </c>
      <c r="S32" s="356">
        <f>$E$32-R32</f>
        <v>1098353</v>
      </c>
      <c r="T32" s="356">
        <f>SUM(T20:T31)</f>
        <v>82091735</v>
      </c>
      <c r="U32" s="356">
        <f>$E$32-T32</f>
        <v>-44086391</v>
      </c>
      <c r="V32" s="354">
        <v>38005344</v>
      </c>
      <c r="W32" s="356">
        <f>SUM(W20:W31)</f>
        <v>37078011</v>
      </c>
      <c r="X32" s="356">
        <f>$E$32-W32</f>
        <v>927333</v>
      </c>
      <c r="Y32" s="376">
        <f>SUM(Y20:Y31)</f>
        <v>0</v>
      </c>
      <c r="Z32" s="376">
        <f>$E$32-Y32</f>
        <v>38005344</v>
      </c>
    </row>
    <row r="33" spans="1:26" x14ac:dyDescent="0.25">
      <c r="A33" s="440" t="s">
        <v>136</v>
      </c>
      <c r="B33" s="440"/>
      <c r="C33" s="440"/>
      <c r="D33" s="7">
        <v>0.2</v>
      </c>
      <c r="E33" s="217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355"/>
      <c r="U33" s="355"/>
      <c r="V33" s="217"/>
      <c r="W33" s="355"/>
      <c r="X33" s="355"/>
      <c r="Y33" s="376"/>
      <c r="Z33" s="376"/>
    </row>
    <row r="34" spans="1:26" x14ac:dyDescent="0.25">
      <c r="A34" s="8"/>
      <c r="B34" s="8" t="s">
        <v>134</v>
      </c>
      <c r="C34" s="8"/>
      <c r="D34" s="9">
        <v>0.13</v>
      </c>
      <c r="E34" s="217">
        <v>4940692.9279499995</v>
      </c>
      <c r="F34" s="355">
        <f>ROUND(F32*D34,0)</f>
        <v>4823600</v>
      </c>
      <c r="G34" s="355">
        <f>$E$34-F34</f>
        <v>117092.92794999946</v>
      </c>
      <c r="H34" s="355">
        <f>H32*D34</f>
        <v>4832477.91</v>
      </c>
      <c r="I34" s="355">
        <f>$E$34-H34</f>
        <v>108215.01794999931</v>
      </c>
      <c r="J34" s="355">
        <f>J32*D34</f>
        <v>4853243.46</v>
      </c>
      <c r="K34" s="355">
        <f>$E$34-J34</f>
        <v>87449.467949999496</v>
      </c>
      <c r="L34" s="355">
        <f>L32*D34</f>
        <v>4313226.58</v>
      </c>
      <c r="M34" s="355">
        <f>$E$34-L34</f>
        <v>627466.34794999938</v>
      </c>
      <c r="N34" s="355">
        <f>N32*D34</f>
        <v>4848301.7700000005</v>
      </c>
      <c r="O34" s="355">
        <f>$E$34-N34</f>
        <v>92391.157949998975</v>
      </c>
      <c r="P34" s="355">
        <f>P32*D34</f>
        <v>4844351.2</v>
      </c>
      <c r="Q34" s="355">
        <f>$E$34-P34</f>
        <v>96341.727949999273</v>
      </c>
      <c r="R34" s="355">
        <f>R32*D34</f>
        <v>4797908.83</v>
      </c>
      <c r="S34" s="355">
        <f>$E$34-R34</f>
        <v>142784.09794999938</v>
      </c>
      <c r="T34" s="355">
        <f>T32*D34</f>
        <v>10671925.550000001</v>
      </c>
      <c r="U34" s="355">
        <f>$E$34-T34</f>
        <v>-5731232.6220500013</v>
      </c>
      <c r="V34" s="217">
        <v>4940692.9279499995</v>
      </c>
      <c r="W34" s="355">
        <f>W32*D34</f>
        <v>4820141.43</v>
      </c>
      <c r="X34" s="355">
        <f>$E$34-W34</f>
        <v>120551.49794999976</v>
      </c>
      <c r="Y34" s="376">
        <f>Y32*D34</f>
        <v>0</v>
      </c>
      <c r="Z34" s="376">
        <f>$E$34-Y34</f>
        <v>4940692.9279499995</v>
      </c>
    </row>
    <row r="35" spans="1:26" x14ac:dyDescent="0.25">
      <c r="A35" s="8"/>
      <c r="B35" s="8" t="s">
        <v>132</v>
      </c>
      <c r="C35" s="8"/>
      <c r="D35" s="7">
        <v>0.02</v>
      </c>
      <c r="E35" s="217">
        <v>760106.60429999989</v>
      </c>
      <c r="F35" s="355">
        <f>ROUND(F32*D35,0)</f>
        <v>742092</v>
      </c>
      <c r="G35" s="355">
        <f>$E$35-F35</f>
        <v>18014.60429999989</v>
      </c>
      <c r="H35" s="355">
        <f>H32*D35</f>
        <v>743458.14</v>
      </c>
      <c r="I35" s="355">
        <f>$E$35-H35</f>
        <v>16648.464299999876</v>
      </c>
      <c r="J35" s="355">
        <f>J32*D35</f>
        <v>746652.84</v>
      </c>
      <c r="K35" s="355">
        <f>$E$35-J35</f>
        <v>13453.764299999923</v>
      </c>
      <c r="L35" s="355">
        <f>L32*D35</f>
        <v>663573.32000000007</v>
      </c>
      <c r="M35" s="355">
        <f>$E$35-L35</f>
        <v>96533.284299999825</v>
      </c>
      <c r="N35" s="355">
        <f>N32*D35</f>
        <v>745892.58</v>
      </c>
      <c r="O35" s="355">
        <f>$E$35-N35</f>
        <v>14214.024299999932</v>
      </c>
      <c r="P35" s="355">
        <f>P32*D35</f>
        <v>745284.8</v>
      </c>
      <c r="Q35" s="355">
        <f>$E$35-P35</f>
        <v>14821.804299999843</v>
      </c>
      <c r="R35" s="355">
        <f>R32*D35</f>
        <v>738139.82000000007</v>
      </c>
      <c r="S35" s="355">
        <f>$E$35-R35</f>
        <v>21966.784299999825</v>
      </c>
      <c r="T35" s="355">
        <f>T32*D35</f>
        <v>1641834.7</v>
      </c>
      <c r="U35" s="355">
        <f>$E$35-T35</f>
        <v>-881728.09570000006</v>
      </c>
      <c r="V35" s="217">
        <v>760106.60429999989</v>
      </c>
      <c r="W35" s="355">
        <f>W32*D35</f>
        <v>741560.22</v>
      </c>
      <c r="X35" s="355">
        <f>$E$35-W35</f>
        <v>18546.384299999918</v>
      </c>
      <c r="Y35" s="376">
        <f>Y32*D35</f>
        <v>0</v>
      </c>
      <c r="Z35" s="376">
        <f>$E$35-Y35</f>
        <v>760106.60429999989</v>
      </c>
    </row>
    <row r="36" spans="1:26" x14ac:dyDescent="0.25">
      <c r="A36" s="8"/>
      <c r="B36" s="8" t="s">
        <v>133</v>
      </c>
      <c r="C36" s="8"/>
      <c r="D36" s="7">
        <v>0.05</v>
      </c>
      <c r="E36" s="217">
        <v>1900266.5107499999</v>
      </c>
      <c r="F36" s="355">
        <f>ROUND(F32*D36,0)</f>
        <v>1855231</v>
      </c>
      <c r="G36" s="355">
        <f>$E$36-F36</f>
        <v>45035.510749999899</v>
      </c>
      <c r="H36" s="355">
        <f>H32*D36</f>
        <v>1858645.35</v>
      </c>
      <c r="I36" s="355">
        <f>$E$36-H36</f>
        <v>41621.160749999806</v>
      </c>
      <c r="J36" s="355">
        <f>J32*D36</f>
        <v>1866632.1</v>
      </c>
      <c r="K36" s="355">
        <f>$E$36-J36</f>
        <v>33634.410749999806</v>
      </c>
      <c r="L36" s="355">
        <f>L32*D36</f>
        <v>1658933.3</v>
      </c>
      <c r="M36" s="355">
        <f>$E$36-L36</f>
        <v>241333.21074999985</v>
      </c>
      <c r="N36" s="355">
        <f>N32*D36</f>
        <v>1864731.4500000002</v>
      </c>
      <c r="O36" s="355">
        <f>$E$36-N36</f>
        <v>35535.060749999713</v>
      </c>
      <c r="P36" s="355">
        <f>P32*D36</f>
        <v>1863212</v>
      </c>
      <c r="Q36" s="355">
        <f>$E$36-P36</f>
        <v>37054.510749999899</v>
      </c>
      <c r="R36" s="355">
        <f>R32*D36</f>
        <v>1845349.55</v>
      </c>
      <c r="S36" s="355">
        <f>$E$36-R36</f>
        <v>54916.960749999853</v>
      </c>
      <c r="T36" s="355">
        <f>T32*D36</f>
        <v>4104586.75</v>
      </c>
      <c r="U36" s="355">
        <f>$E$36-T36</f>
        <v>-2204320.2392500001</v>
      </c>
      <c r="V36" s="217">
        <v>1900266.5107499999</v>
      </c>
      <c r="W36" s="355">
        <f>W32*D36</f>
        <v>1853900.55</v>
      </c>
      <c r="X36" s="355">
        <f>$E$36-W36</f>
        <v>46365.960749999853</v>
      </c>
      <c r="Y36" s="376">
        <f>Y32*D36</f>
        <v>0</v>
      </c>
      <c r="Z36" s="376">
        <f>$E$36-Y36</f>
        <v>1900266.5107499999</v>
      </c>
    </row>
    <row r="37" spans="1:26" x14ac:dyDescent="0.25">
      <c r="A37" s="8"/>
      <c r="B37" s="8" t="s">
        <v>135</v>
      </c>
      <c r="C37" s="8"/>
      <c r="D37" s="7">
        <v>0.19</v>
      </c>
      <c r="E37" s="217">
        <v>361050.63704249996</v>
      </c>
      <c r="F37" s="355">
        <f>ROUND(F36*D37,0)</f>
        <v>352494</v>
      </c>
      <c r="G37" s="355">
        <f>$E$37-F37</f>
        <v>8556.6370424999623</v>
      </c>
      <c r="H37" s="355">
        <f>H36*D37</f>
        <v>353142.6165</v>
      </c>
      <c r="I37" s="355">
        <f>$E$37-H37</f>
        <v>7908.0205424999585</v>
      </c>
      <c r="J37" s="355">
        <f>J36*D37</f>
        <v>354660.09900000005</v>
      </c>
      <c r="K37" s="355">
        <f>$E$37-J37</f>
        <v>6390.5380424999166</v>
      </c>
      <c r="L37" s="355">
        <f>L36*D37</f>
        <v>315197.32699999999</v>
      </c>
      <c r="M37" s="355">
        <f>$E$37-L37</f>
        <v>45853.310042499972</v>
      </c>
      <c r="N37" s="355">
        <f>N36*D37</f>
        <v>354298.97550000006</v>
      </c>
      <c r="O37" s="355">
        <f>$E$37-N37</f>
        <v>6751.6615424999036</v>
      </c>
      <c r="P37" s="355">
        <f>P36*D37</f>
        <v>354010.28</v>
      </c>
      <c r="Q37" s="355">
        <f>$E$37-P37</f>
        <v>7040.3570424999343</v>
      </c>
      <c r="R37" s="355">
        <f>R36*D37</f>
        <v>350616.41450000001</v>
      </c>
      <c r="S37" s="355">
        <f>$E$37-R37</f>
        <v>10434.222542499949</v>
      </c>
      <c r="T37" s="355">
        <f>T36*D37</f>
        <v>779871.48250000004</v>
      </c>
      <c r="U37" s="355">
        <f>$E$37-T37</f>
        <v>-418820.84545750008</v>
      </c>
      <c r="V37" s="217">
        <v>361050.63704249996</v>
      </c>
      <c r="W37" s="355">
        <f>W36*D37</f>
        <v>352241.10450000002</v>
      </c>
      <c r="X37" s="355">
        <f>$E$37-W37</f>
        <v>8809.5325424999464</v>
      </c>
      <c r="Y37" s="376">
        <f>Y36*D37</f>
        <v>0</v>
      </c>
      <c r="Z37" s="376">
        <f>$E$37-Y37</f>
        <v>361050.63704249996</v>
      </c>
    </row>
    <row r="38" spans="1:26" x14ac:dyDescent="0.25">
      <c r="A38" s="13"/>
      <c r="B38" s="439" t="s">
        <v>129</v>
      </c>
      <c r="C38" s="439"/>
      <c r="D38" s="439"/>
      <c r="E38" s="354">
        <f>SUM(E34:E37)</f>
        <v>7962116.6800424997</v>
      </c>
      <c r="F38" s="362">
        <f>SUM(F34:F37)</f>
        <v>7773417</v>
      </c>
      <c r="G38" s="356">
        <f>$E$38-F38</f>
        <v>188699.68004249968</v>
      </c>
      <c r="H38" s="356">
        <f>SUM(H34:H37)</f>
        <v>7787724.0164999999</v>
      </c>
      <c r="I38" s="356">
        <f>$E$38-H38</f>
        <v>174392.66354249977</v>
      </c>
      <c r="J38" s="362">
        <f>SUM(J34:J37)</f>
        <v>7821188.4990000008</v>
      </c>
      <c r="K38" s="356">
        <f>$E$38-J38</f>
        <v>140928.18104249891</v>
      </c>
      <c r="L38" s="362">
        <f>SUM(L34:L37)</f>
        <v>6950930.5269999998</v>
      </c>
      <c r="M38" s="356">
        <f>$E$38-L38</f>
        <v>1011186.1530424999</v>
      </c>
      <c r="N38" s="356">
        <f>SUM(N34:N37)</f>
        <v>7813224.7755000005</v>
      </c>
      <c r="O38" s="356">
        <f>$E$38-N38</f>
        <v>148891.90454249922</v>
      </c>
      <c r="P38" s="362">
        <f>SUM(P34:P37)</f>
        <v>7806858.2800000003</v>
      </c>
      <c r="Q38" s="356">
        <f>$E$38-P38</f>
        <v>155258.40004249942</v>
      </c>
      <c r="R38" s="362">
        <f>SUM(R34:R37)</f>
        <v>7732014.6145000001</v>
      </c>
      <c r="S38" s="356">
        <f>$E$38-R38</f>
        <v>230102.06554249953</v>
      </c>
      <c r="T38" s="362">
        <f>SUM(T34:T37)</f>
        <v>17198218.482500002</v>
      </c>
      <c r="U38" s="356">
        <f>$E$38-T38</f>
        <v>-9236101.8024575021</v>
      </c>
      <c r="V38" s="354">
        <f>SUM(V34:V37)</f>
        <v>7962116.6800424997</v>
      </c>
      <c r="W38" s="362">
        <f>SUM(W34:W37)</f>
        <v>7767843.3044999996</v>
      </c>
      <c r="X38" s="356">
        <f>$E$38-W38</f>
        <v>194273.37554250006</v>
      </c>
      <c r="Y38" s="377">
        <f>SUM(Y34:Y37)</f>
        <v>0</v>
      </c>
      <c r="Z38" s="376">
        <f>$E$38-Y38</f>
        <v>7962116.6800424997</v>
      </c>
    </row>
    <row r="39" spans="1:26" ht="16.5" x14ac:dyDescent="0.25">
      <c r="A39" s="441" t="s">
        <v>130</v>
      </c>
      <c r="B39" s="441"/>
      <c r="C39" s="441"/>
      <c r="D39" s="441"/>
      <c r="E39" s="18">
        <f>E32+E38</f>
        <v>45967460.680042498</v>
      </c>
      <c r="F39" s="361">
        <f>F32+F38</f>
        <v>44878029</v>
      </c>
      <c r="G39" s="357">
        <f>$E$39-F39</f>
        <v>1089431.6800424978</v>
      </c>
      <c r="H39" s="357">
        <f>H32+H38</f>
        <v>44960631.016499996</v>
      </c>
      <c r="I39" s="357">
        <f>$E$39-H39</f>
        <v>1006829.6635425016</v>
      </c>
      <c r="J39" s="361">
        <f>J32+J38</f>
        <v>45153830.498999998</v>
      </c>
      <c r="K39" s="357">
        <f>$E$39-J39</f>
        <v>813630.18104249984</v>
      </c>
      <c r="L39" s="361">
        <f>L32+L38</f>
        <v>40129596.527000003</v>
      </c>
      <c r="M39" s="357">
        <f>$E$39-L39</f>
        <v>5837864.1530424953</v>
      </c>
      <c r="N39" s="357">
        <f>N32+N38</f>
        <v>45107853.7755</v>
      </c>
      <c r="O39" s="357">
        <f>$E$39-N39</f>
        <v>859606.90454249829</v>
      </c>
      <c r="P39" s="361">
        <f>P32+P38</f>
        <v>45071098.280000001</v>
      </c>
      <c r="Q39" s="357">
        <f>$E$39-P39</f>
        <v>896362.40004249662</v>
      </c>
      <c r="R39" s="361">
        <f>R32+R38</f>
        <v>44639005.614500001</v>
      </c>
      <c r="S39" s="357">
        <f>$E$39-R39</f>
        <v>1328455.0655424967</v>
      </c>
      <c r="T39" s="361">
        <f>T32+T38</f>
        <v>99289953.482500002</v>
      </c>
      <c r="U39" s="357">
        <f>$E$39-T39</f>
        <v>-53322492.802457504</v>
      </c>
      <c r="V39" s="18">
        <f>V32+V38</f>
        <v>45967460.680042498</v>
      </c>
      <c r="W39" s="361">
        <f>W32+W38</f>
        <v>44845854.304499999</v>
      </c>
      <c r="X39" s="357">
        <f>$E$39-W39</f>
        <v>1121606.3755424991</v>
      </c>
      <c r="Y39" s="377">
        <f>Y32+Y38</f>
        <v>0</v>
      </c>
      <c r="Z39" s="376">
        <f>$E$39-Y39</f>
        <v>45967460.680042498</v>
      </c>
    </row>
  </sheetData>
  <mergeCells count="8">
    <mergeCell ref="B38:D38"/>
    <mergeCell ref="A39:D39"/>
    <mergeCell ref="A9:D9"/>
    <mergeCell ref="A10:C10"/>
    <mergeCell ref="B15:D15"/>
    <mergeCell ref="A16:D16"/>
    <mergeCell ref="A32:D32"/>
    <mergeCell ref="A33:C33"/>
  </mergeCells>
  <pageMargins left="0.7" right="0.7" top="0.75" bottom="0.75" header="0.3" footer="0.3"/>
  <pageSetup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08F9F-A547-44E4-B1A5-8EFEC8326CDF}">
  <dimension ref="A1:Z39"/>
  <sheetViews>
    <sheetView zoomScale="150" zoomScaleNormal="150" workbookViewId="0">
      <pane xSplit="5" ySplit="1" topLeftCell="T2" activePane="bottomRight" state="frozen"/>
      <selection pane="topRight" activeCell="F1" sqref="F1"/>
      <selection pane="bottomLeft" activeCell="A2" sqref="A2"/>
      <selection pane="bottomRight" activeCell="AB15" sqref="AB15"/>
    </sheetView>
  </sheetViews>
  <sheetFormatPr baseColWidth="10" defaultRowHeight="15" x14ac:dyDescent="0.25"/>
  <cols>
    <col min="1" max="1" width="4.42578125" style="2" bestFit="1" customWidth="1"/>
    <col min="2" max="2" width="30.85546875" style="10" customWidth="1"/>
    <col min="3" max="3" width="6.140625" style="2" bestFit="1" customWidth="1"/>
    <col min="4" max="4" width="6.42578125" style="2" bestFit="1" customWidth="1"/>
    <col min="5" max="5" width="12.7109375" style="15" bestFit="1" customWidth="1"/>
    <col min="6" max="6" width="12.28515625" style="2" customWidth="1"/>
    <col min="7" max="7" width="10.7109375" style="19" customWidth="1"/>
    <col min="8" max="8" width="14.28515625" style="2" customWidth="1"/>
    <col min="9" max="9" width="10.7109375" style="19" customWidth="1"/>
    <col min="10" max="10" width="12.28515625" style="2" customWidth="1"/>
    <col min="11" max="11" width="10.7109375" style="19" customWidth="1"/>
    <col min="12" max="12" width="12.28515625" style="2" customWidth="1"/>
    <col min="13" max="13" width="10.7109375" style="19" customWidth="1"/>
    <col min="14" max="14" width="12.28515625" style="2" customWidth="1"/>
    <col min="15" max="15" width="10.7109375" style="19" customWidth="1"/>
    <col min="16" max="16" width="12.28515625" style="2" customWidth="1"/>
    <col min="17" max="17" width="10.7109375" style="19" customWidth="1"/>
    <col min="18" max="18" width="12.28515625" style="2" customWidth="1"/>
    <col min="19" max="19" width="10.7109375" style="19" customWidth="1"/>
    <col min="20" max="20" width="12.28515625" style="2" customWidth="1"/>
    <col min="21" max="21" width="10.7109375" style="19" customWidth="1"/>
    <col min="22" max="22" width="12.7109375" style="15" bestFit="1" customWidth="1"/>
    <col min="23" max="23" width="12.28515625" style="2" customWidth="1"/>
    <col min="24" max="24" width="10.7109375" style="19" customWidth="1"/>
    <col min="25" max="25" width="12.28515625" style="2" customWidth="1"/>
    <col min="26" max="26" width="10.7109375" style="19" customWidth="1"/>
  </cols>
  <sheetData>
    <row r="1" spans="1:26" ht="40.5" x14ac:dyDescent="0.25">
      <c r="A1" s="11" t="s">
        <v>127</v>
      </c>
      <c r="B1" s="12" t="s">
        <v>7</v>
      </c>
      <c r="C1" s="12" t="s">
        <v>4</v>
      </c>
      <c r="D1" s="12" t="s">
        <v>138</v>
      </c>
      <c r="E1" s="14" t="s">
        <v>137</v>
      </c>
      <c r="F1" s="12" t="s">
        <v>439</v>
      </c>
      <c r="G1" s="12" t="s">
        <v>271</v>
      </c>
      <c r="H1" s="12" t="s">
        <v>440</v>
      </c>
      <c r="I1" s="12" t="s">
        <v>271</v>
      </c>
      <c r="J1" s="12" t="s">
        <v>441</v>
      </c>
      <c r="K1" s="12" t="s">
        <v>271</v>
      </c>
      <c r="L1" s="12" t="s">
        <v>442</v>
      </c>
      <c r="M1" s="12" t="s">
        <v>271</v>
      </c>
      <c r="N1" s="12" t="s">
        <v>443</v>
      </c>
      <c r="O1" s="12" t="s">
        <v>271</v>
      </c>
      <c r="P1" s="12" t="s">
        <v>444</v>
      </c>
      <c r="Q1" s="12" t="s">
        <v>271</v>
      </c>
      <c r="R1" s="12" t="s">
        <v>445</v>
      </c>
      <c r="S1" s="12" t="s">
        <v>271</v>
      </c>
      <c r="T1" s="12" t="s">
        <v>446</v>
      </c>
      <c r="U1" s="12" t="s">
        <v>271</v>
      </c>
      <c r="V1" s="14" t="s">
        <v>137</v>
      </c>
      <c r="W1" s="12" t="s">
        <v>447</v>
      </c>
      <c r="X1" s="12" t="s">
        <v>271</v>
      </c>
      <c r="Y1" s="12" t="s">
        <v>448</v>
      </c>
      <c r="Z1" s="12" t="s">
        <v>271</v>
      </c>
    </row>
    <row r="2" spans="1:26" ht="27" x14ac:dyDescent="0.25">
      <c r="A2" s="216">
        <v>1</v>
      </c>
      <c r="B2" s="5" t="s">
        <v>292</v>
      </c>
      <c r="C2" s="6" t="s">
        <v>4</v>
      </c>
      <c r="D2" s="3">
        <v>1</v>
      </c>
      <c r="E2" s="217">
        <v>4568383</v>
      </c>
      <c r="F2" s="355">
        <v>4439541</v>
      </c>
      <c r="G2" s="355">
        <f>$E$2-F2</f>
        <v>128842</v>
      </c>
      <c r="H2" s="355">
        <v>4475648</v>
      </c>
      <c r="I2" s="355">
        <f>$E$2-H2</f>
        <v>92735</v>
      </c>
      <c r="J2" s="355">
        <v>4477426.8</v>
      </c>
      <c r="K2" s="355">
        <f>$E$2-J2</f>
        <v>90956.200000000186</v>
      </c>
      <c r="L2" s="355">
        <v>3667173.2</v>
      </c>
      <c r="M2" s="355">
        <f>$E$2-L2</f>
        <v>901209.79999999981</v>
      </c>
      <c r="N2" s="355">
        <v>4261253.5999999996</v>
      </c>
      <c r="O2" s="355">
        <f>$E$2-N2</f>
        <v>307129.40000000037</v>
      </c>
      <c r="P2" s="355">
        <v>4470165</v>
      </c>
      <c r="Q2" s="355">
        <f>$E$2-P2</f>
        <v>98218</v>
      </c>
      <c r="R2" s="355">
        <v>4431328.5999999996</v>
      </c>
      <c r="S2" s="355">
        <f>$E$2-R2</f>
        <v>137054.40000000037</v>
      </c>
      <c r="T2" s="355">
        <v>4458740</v>
      </c>
      <c r="U2" s="355">
        <f>$E$2-T2</f>
        <v>109643</v>
      </c>
      <c r="V2" s="217">
        <v>4568383</v>
      </c>
      <c r="W2" s="355">
        <v>4440920</v>
      </c>
      <c r="X2" s="355">
        <f>$E$2-W2</f>
        <v>127463</v>
      </c>
      <c r="Y2" s="355">
        <f>550936+1446268+707912+1640331</f>
        <v>4345447</v>
      </c>
      <c r="Z2" s="355">
        <f>$E$2-Y2</f>
        <v>222936</v>
      </c>
    </row>
    <row r="3" spans="1:26" x14ac:dyDescent="0.25">
      <c r="A3" s="216">
        <v>2</v>
      </c>
      <c r="B3" s="5" t="s">
        <v>299</v>
      </c>
      <c r="C3" s="6" t="s">
        <v>4</v>
      </c>
      <c r="D3" s="3">
        <v>1</v>
      </c>
      <c r="E3" s="217">
        <v>26508156.666666668</v>
      </c>
      <c r="F3" s="355">
        <v>25760610</v>
      </c>
      <c r="G3" s="355">
        <f>$E$3-F3</f>
        <v>747546.66666666791</v>
      </c>
      <c r="H3" s="355">
        <v>25970110</v>
      </c>
      <c r="I3" s="355">
        <f>$E$3-H3</f>
        <v>538046.66666666791</v>
      </c>
      <c r="J3" s="355">
        <v>25980340</v>
      </c>
      <c r="K3" s="355">
        <f>$E$3-J3</f>
        <v>527816.66666666791</v>
      </c>
      <c r="L3" s="355">
        <v>25401680</v>
      </c>
      <c r="M3" s="355">
        <f>$E$3-L3</f>
        <v>1106476.6666666679</v>
      </c>
      <c r="N3" s="355">
        <v>24726000</v>
      </c>
      <c r="O3" s="355">
        <f>$E$3-N2</f>
        <v>22246903.06666667</v>
      </c>
      <c r="P3" s="355">
        <v>25938310</v>
      </c>
      <c r="Q3" s="355">
        <f>$E$3-P3</f>
        <v>569846.66666666791</v>
      </c>
      <c r="R3" s="355">
        <v>25712880</v>
      </c>
      <c r="S3" s="355">
        <f>$E$3-R3</f>
        <v>795276.66666666791</v>
      </c>
      <c r="T3" s="355">
        <v>25871930</v>
      </c>
      <c r="U3" s="355">
        <f>$E$3-T3</f>
        <v>636226.66666666791</v>
      </c>
      <c r="V3" s="217">
        <v>26508156.666666668</v>
      </c>
      <c r="W3" s="355">
        <v>25768640</v>
      </c>
      <c r="X3" s="355">
        <f>$E$3-W3</f>
        <v>739516.66666666791</v>
      </c>
      <c r="Y3" s="355">
        <f>4522050+19571760+1120740</f>
        <v>25214550</v>
      </c>
      <c r="Z3" s="355">
        <f>$E$3-Y3</f>
        <v>1293606.6666666679</v>
      </c>
    </row>
    <row r="4" spans="1:26" x14ac:dyDescent="0.25">
      <c r="A4" s="216">
        <v>3</v>
      </c>
      <c r="B4" s="4" t="s">
        <v>308</v>
      </c>
      <c r="C4" s="6" t="s">
        <v>4</v>
      </c>
      <c r="D4" s="3">
        <v>1</v>
      </c>
      <c r="E4" s="217">
        <v>18398710.550000001</v>
      </c>
      <c r="F4" s="355">
        <v>17879655</v>
      </c>
      <c r="G4" s="355">
        <f>$E$4-F4</f>
        <v>519055.55000000075</v>
      </c>
      <c r="H4" s="355">
        <v>18025378</v>
      </c>
      <c r="I4" s="355">
        <f>$E$4-H4</f>
        <v>373332.55000000075</v>
      </c>
      <c r="J4" s="355">
        <v>18032251.600000001</v>
      </c>
      <c r="K4" s="355">
        <f>$E$4-J4</f>
        <v>366458.94999999925</v>
      </c>
      <c r="L4" s="355">
        <v>18040644.710000001</v>
      </c>
      <c r="M4" s="355">
        <f>$E$4-L4</f>
        <v>358065.83999999985</v>
      </c>
      <c r="N4" s="355">
        <v>17161653.469999999</v>
      </c>
      <c r="O4" s="355">
        <f>$E$4-N4</f>
        <v>1237057.0800000019</v>
      </c>
      <c r="P4" s="355">
        <v>0</v>
      </c>
      <c r="Q4" s="355">
        <f>$E$4-P4</f>
        <v>18398710.550000001</v>
      </c>
      <c r="R4" s="355">
        <v>17846633.719999999</v>
      </c>
      <c r="S4" s="355">
        <f>$E$4-R4</f>
        <v>552076.83000000194</v>
      </c>
      <c r="T4" s="355">
        <v>17957174</v>
      </c>
      <c r="U4" s="355">
        <f>$E$4-T4</f>
        <v>441536.55000000075</v>
      </c>
      <c r="V4" s="217">
        <v>18398710.550000001</v>
      </c>
      <c r="W4" s="355">
        <v>17885415.93</v>
      </c>
      <c r="X4" s="355">
        <f>$E$4-W4</f>
        <v>513294.62000000104</v>
      </c>
      <c r="Y4" s="355">
        <f>8387750+4917240+4195676</f>
        <v>17500666</v>
      </c>
      <c r="Z4" s="355">
        <f>$E$4-Y4</f>
        <v>898044.55000000075</v>
      </c>
    </row>
    <row r="5" spans="1:26" x14ac:dyDescent="0.25">
      <c r="A5" s="216">
        <v>4</v>
      </c>
      <c r="B5" s="4" t="s">
        <v>314</v>
      </c>
      <c r="C5" s="6" t="s">
        <v>4</v>
      </c>
      <c r="D5" s="3">
        <v>1</v>
      </c>
      <c r="E5" s="217">
        <v>9464086.666666666</v>
      </c>
      <c r="F5" s="355">
        <v>9197240</v>
      </c>
      <c r="G5" s="355">
        <f>$E$5-F5</f>
        <v>266846.66666666605</v>
      </c>
      <c r="H5" s="355">
        <v>9271990</v>
      </c>
      <c r="I5" s="355">
        <f>$E$5-H5</f>
        <v>192096.66666666605</v>
      </c>
      <c r="J5" s="355">
        <v>9275630</v>
      </c>
      <c r="K5" s="355">
        <f>$E$5-J5</f>
        <v>188456.66666666605</v>
      </c>
      <c r="L5" s="355">
        <v>9128210</v>
      </c>
      <c r="M5" s="355">
        <f>$E$5-L5</f>
        <v>335876.66666666605</v>
      </c>
      <c r="N5" s="355">
        <v>8827780</v>
      </c>
      <c r="O5" s="355">
        <f>$E$5-N5</f>
        <v>636306.66666666605</v>
      </c>
      <c r="P5" s="355">
        <v>9260550</v>
      </c>
      <c r="Q5" s="355">
        <f>$E$5-P5</f>
        <v>203536.66666666605</v>
      </c>
      <c r="R5" s="355">
        <v>9180080</v>
      </c>
      <c r="S5" s="355">
        <f>$E$5-R5</f>
        <v>284006.66666666605</v>
      </c>
      <c r="T5" s="355">
        <v>9236890</v>
      </c>
      <c r="U5" s="355">
        <f>$E$5-T5</f>
        <v>227196.66666666605</v>
      </c>
      <c r="V5" s="217">
        <v>9464086.666666666</v>
      </c>
      <c r="W5" s="355">
        <v>9199970</v>
      </c>
      <c r="X5" s="355">
        <f>$E$5-W5</f>
        <v>264116.66666666605</v>
      </c>
      <c r="Y5" s="355">
        <f>1541670+7460570</f>
        <v>9002240</v>
      </c>
      <c r="Z5" s="355">
        <f>$E$5-Y5</f>
        <v>461846.66666666605</v>
      </c>
    </row>
    <row r="6" spans="1:26" ht="27" x14ac:dyDescent="0.25">
      <c r="A6" s="216">
        <v>5</v>
      </c>
      <c r="B6" s="4" t="s">
        <v>323</v>
      </c>
      <c r="C6" s="6" t="s">
        <v>4</v>
      </c>
      <c r="D6" s="3">
        <v>1</v>
      </c>
      <c r="E6" s="217">
        <v>46259409</v>
      </c>
      <c r="F6" s="355">
        <v>44954810</v>
      </c>
      <c r="G6" s="355">
        <f>$E$6-F6</f>
        <v>1304599</v>
      </c>
      <c r="H6" s="355">
        <v>45320334</v>
      </c>
      <c r="I6" s="355">
        <f>$E$6-H6</f>
        <v>939075</v>
      </c>
      <c r="J6" s="355">
        <v>45338403.109999999</v>
      </c>
      <c r="K6" s="355">
        <f>$E$6-J6</f>
        <v>921005.8900000006</v>
      </c>
      <c r="L6" s="355">
        <v>42426669.910000004</v>
      </c>
      <c r="M6" s="355">
        <f>$E$6-L6</f>
        <v>3832739.0899999961</v>
      </c>
      <c r="N6" s="355">
        <v>43149371.890000001</v>
      </c>
      <c r="O6" s="355">
        <f>$E$6-N6</f>
        <v>3110037.1099999994</v>
      </c>
      <c r="P6" s="355">
        <v>45264841.380000003</v>
      </c>
      <c r="Q6" s="355">
        <f>$E$6-P6</f>
        <v>994567.61999999732</v>
      </c>
      <c r="R6" s="355">
        <v>46243803</v>
      </c>
      <c r="S6" s="355">
        <f>$E$6-R6</f>
        <v>15606</v>
      </c>
      <c r="T6" s="355">
        <v>45149186</v>
      </c>
      <c r="U6" s="355">
        <f>$E$6-T6</f>
        <v>1110223</v>
      </c>
      <c r="V6" s="217">
        <v>46259409</v>
      </c>
      <c r="W6" s="355">
        <v>44968768.32</v>
      </c>
      <c r="X6" s="355">
        <f>$E$6-W6</f>
        <v>1290640.6799999997</v>
      </c>
      <c r="Y6" s="355">
        <f>6033326+1961553+14201688+21805398</f>
        <v>44001965</v>
      </c>
      <c r="Z6" s="355">
        <f>$E$6-Y6</f>
        <v>2257444</v>
      </c>
    </row>
    <row r="7" spans="1:26" x14ac:dyDescent="0.25">
      <c r="A7" s="216">
        <v>6</v>
      </c>
      <c r="B7" s="5" t="s">
        <v>328</v>
      </c>
      <c r="C7" s="6" t="s">
        <v>4</v>
      </c>
      <c r="D7" s="3">
        <v>1</v>
      </c>
      <c r="E7" s="217">
        <v>69497761.733333334</v>
      </c>
      <c r="F7" s="355">
        <v>67537815</v>
      </c>
      <c r="G7" s="355">
        <f>$E$7-F7</f>
        <v>1959946.7333333343</v>
      </c>
      <c r="H7" s="355">
        <v>68086928</v>
      </c>
      <c r="I7" s="355">
        <f>$E$7-H7</f>
        <v>1410833.7333333343</v>
      </c>
      <c r="J7" s="355">
        <v>68114044.299999997</v>
      </c>
      <c r="K7" s="355">
        <f>$E$7-J7</f>
        <v>1383717.4333333373</v>
      </c>
      <c r="L7" s="355">
        <v>67030589.249999993</v>
      </c>
      <c r="M7" s="355">
        <f>$E$7-L7</f>
        <v>2467172.4833333418</v>
      </c>
      <c r="N7" s="355">
        <v>64825397.949999996</v>
      </c>
      <c r="O7" s="355">
        <f>$E$7-N7</f>
        <v>4672363.7833333388</v>
      </c>
      <c r="P7" s="355">
        <v>68003569.75</v>
      </c>
      <c r="Q7" s="355">
        <f>$E$7-P7</f>
        <v>1494191.9833333343</v>
      </c>
      <c r="R7" s="355">
        <v>68107802.799999997</v>
      </c>
      <c r="S7" s="355">
        <f>$E$7-R7</f>
        <v>1389958.9333333373</v>
      </c>
      <c r="T7" s="355">
        <v>67829848</v>
      </c>
      <c r="U7" s="355">
        <f>$E$7-T7</f>
        <v>1667913.7333333343</v>
      </c>
      <c r="V7" s="217">
        <v>69497761.733333334</v>
      </c>
      <c r="W7" s="355">
        <v>67558758.849999994</v>
      </c>
      <c r="X7" s="355">
        <f>$E$7-W7</f>
        <v>1939002.8833333403</v>
      </c>
      <c r="Y7" s="355">
        <v>66106292</v>
      </c>
      <c r="Z7" s="355">
        <f>$E$7-Y7</f>
        <v>3391469.7333333343</v>
      </c>
    </row>
    <row r="8" spans="1:26" ht="27" x14ac:dyDescent="0.25">
      <c r="A8" s="216">
        <v>7</v>
      </c>
      <c r="B8" s="5" t="s">
        <v>333</v>
      </c>
      <c r="C8" s="6" t="s">
        <v>4</v>
      </c>
      <c r="D8" s="3">
        <v>1</v>
      </c>
      <c r="E8" s="217">
        <v>2370133.3333333335</v>
      </c>
      <c r="F8" s="355">
        <v>2303200</v>
      </c>
      <c r="G8" s="355">
        <f>$E$8-F8</f>
        <v>66933.333333333489</v>
      </c>
      <c r="H8" s="355">
        <v>2322000</v>
      </c>
      <c r="I8" s="355">
        <f>$E$8-H8</f>
        <v>48133.333333333489</v>
      </c>
      <c r="J8" s="355">
        <v>2322800</v>
      </c>
      <c r="K8" s="355">
        <f>$E$8-J8</f>
        <v>47333.333333333489</v>
      </c>
      <c r="L8" s="355">
        <v>2286000</v>
      </c>
      <c r="M8" s="355">
        <f>$E$8-L8</f>
        <v>84133.333333333489</v>
      </c>
      <c r="N8" s="2">
        <v>2210800</v>
      </c>
      <c r="O8" s="355">
        <f>$E$8-N8</f>
        <v>159333.33333333349</v>
      </c>
      <c r="P8" s="355">
        <v>2319200</v>
      </c>
      <c r="Q8" s="355">
        <f>$E$8-P8</f>
        <v>50933.333333333489</v>
      </c>
      <c r="R8" s="355">
        <v>2303600</v>
      </c>
      <c r="S8" s="355">
        <f>$E$8-R8</f>
        <v>66533.333333333489</v>
      </c>
      <c r="T8" s="355">
        <v>2313200</v>
      </c>
      <c r="U8" s="355">
        <f>$E$8-T8</f>
        <v>56933.333333333489</v>
      </c>
      <c r="V8" s="217">
        <v>2370133.3333333335</v>
      </c>
      <c r="W8" s="355">
        <v>2304000</v>
      </c>
      <c r="X8" s="355">
        <f>$E$8-W8</f>
        <v>66133.333333333489</v>
      </c>
      <c r="Y8" s="355">
        <v>2254400</v>
      </c>
      <c r="Z8" s="355">
        <f>$E$8-Y8</f>
        <v>115733.33333333349</v>
      </c>
    </row>
    <row r="9" spans="1:26" s="16" customFormat="1" x14ac:dyDescent="0.25">
      <c r="A9" s="439" t="s">
        <v>128</v>
      </c>
      <c r="B9" s="439"/>
      <c r="C9" s="439"/>
      <c r="D9" s="439"/>
      <c r="E9" s="354">
        <f>SUM(E2:E8)</f>
        <v>177066640.95000002</v>
      </c>
      <c r="F9" s="356">
        <f>SUM(F2:F8)</f>
        <v>172072871</v>
      </c>
      <c r="G9" s="356">
        <f>$E$9-F9</f>
        <v>4993769.9500000179</v>
      </c>
      <c r="H9" s="356">
        <f>SUM(H2:H8)</f>
        <v>173472388</v>
      </c>
      <c r="I9" s="356">
        <f>$E$9-H9</f>
        <v>3594252.9500000179</v>
      </c>
      <c r="J9" s="362">
        <f>SUM(J2:J8)</f>
        <v>173540895.81</v>
      </c>
      <c r="K9" s="356">
        <f>$E$9-J9</f>
        <v>3525745.1400000155</v>
      </c>
      <c r="L9" s="356">
        <f>SUM(L2:L8)</f>
        <v>167980967.06999999</v>
      </c>
      <c r="M9" s="356">
        <f>$E$9-L9</f>
        <v>9085673.880000025</v>
      </c>
      <c r="N9" s="356">
        <f>SUM(N2:N8)</f>
        <v>165162256.91</v>
      </c>
      <c r="O9" s="356">
        <f>$E$9-N9</f>
        <v>11904384.040000021</v>
      </c>
      <c r="P9" s="356">
        <f>SUM(P2:P8)</f>
        <v>155256636.13</v>
      </c>
      <c r="Q9" s="356">
        <f>$E$9-P9</f>
        <v>21810004.820000023</v>
      </c>
      <c r="R9" s="356">
        <f>SUM(R2:R8)</f>
        <v>173826128.12</v>
      </c>
      <c r="S9" s="356">
        <f>$E$9-R9</f>
        <v>3240512.8300000131</v>
      </c>
      <c r="T9" s="356">
        <f>SUM(T2:T8)</f>
        <v>172816968</v>
      </c>
      <c r="U9" s="356">
        <f>$E$9-T9</f>
        <v>4249672.9500000179</v>
      </c>
      <c r="V9" s="354">
        <f>SUM(V2:V8)</f>
        <v>177066640.95000002</v>
      </c>
      <c r="W9" s="356">
        <f>SUM(W2:W8)</f>
        <v>172126473.09999999</v>
      </c>
      <c r="X9" s="356">
        <f>$E$9-W9</f>
        <v>4940167.8500000238</v>
      </c>
      <c r="Y9" s="356">
        <f>SUM(Y2:Y8)</f>
        <v>168425560</v>
      </c>
      <c r="Z9" s="356">
        <f>$E$9-Y9</f>
        <v>8641080.9500000179</v>
      </c>
    </row>
    <row r="10" spans="1:26" x14ac:dyDescent="0.25">
      <c r="A10" s="440" t="s">
        <v>136</v>
      </c>
      <c r="B10" s="440"/>
      <c r="C10" s="440"/>
      <c r="D10" s="7">
        <v>0.2</v>
      </c>
      <c r="E10" s="217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217"/>
      <c r="W10" s="355"/>
      <c r="X10" s="355"/>
      <c r="Y10" s="355"/>
      <c r="Z10" s="355"/>
    </row>
    <row r="11" spans="1:26" x14ac:dyDescent="0.25">
      <c r="A11" s="8"/>
      <c r="B11" s="8" t="s">
        <v>134</v>
      </c>
      <c r="C11" s="8"/>
      <c r="D11" s="9">
        <v>0.13</v>
      </c>
      <c r="E11" s="217">
        <v>23018663.323500004</v>
      </c>
      <c r="F11" s="355">
        <f>(F9*D11)</f>
        <v>22369473.23</v>
      </c>
      <c r="G11" s="355">
        <f>$E$11-F11</f>
        <v>649190.09350000322</v>
      </c>
      <c r="H11" s="355">
        <f>H9*$D$11</f>
        <v>22551410.440000001</v>
      </c>
      <c r="I11" s="355">
        <f>$E$11-H11</f>
        <v>467252.88350000232</v>
      </c>
      <c r="J11" s="355">
        <f>J9*D11</f>
        <v>22560316.4553</v>
      </c>
      <c r="K11" s="355">
        <f>$E$11-J11</f>
        <v>458346.8682000041</v>
      </c>
      <c r="L11" s="355">
        <f>L9*D11</f>
        <v>21837525.719099998</v>
      </c>
      <c r="M11" s="355">
        <f>$E$11-L11</f>
        <v>1181137.6044000052</v>
      </c>
      <c r="N11" s="355">
        <f>N9*D11</f>
        <v>21471093.3983</v>
      </c>
      <c r="O11" s="355">
        <f>$E$11-N11</f>
        <v>1547569.9252000041</v>
      </c>
      <c r="P11" s="355">
        <f>P9*D11</f>
        <v>20183362.696899999</v>
      </c>
      <c r="Q11" s="355">
        <f>$E$11-P11</f>
        <v>2835300.6266000047</v>
      </c>
      <c r="R11" s="355">
        <f>R9*D11</f>
        <v>22597396.6556</v>
      </c>
      <c r="S11" s="355">
        <f>$E$11-R11</f>
        <v>421266.66790000349</v>
      </c>
      <c r="T11" s="355">
        <f>T9*D11</f>
        <v>22466205.84</v>
      </c>
      <c r="U11" s="355">
        <f>$E$11-T11</f>
        <v>552457.48350000381</v>
      </c>
      <c r="V11" s="217">
        <v>23018663.323500004</v>
      </c>
      <c r="W11" s="355">
        <f>W9*D11</f>
        <v>22376441.502999999</v>
      </c>
      <c r="X11" s="355">
        <f>$E$11-W11</f>
        <v>642221.82050000504</v>
      </c>
      <c r="Y11" s="355">
        <f>Y9*D11</f>
        <v>21895322.800000001</v>
      </c>
      <c r="Z11" s="355">
        <f>$E$11-Y11</f>
        <v>1123340.5235000029</v>
      </c>
    </row>
    <row r="12" spans="1:26" x14ac:dyDescent="0.25">
      <c r="A12" s="8"/>
      <c r="B12" s="8" t="s">
        <v>132</v>
      </c>
      <c r="C12" s="8"/>
      <c r="D12" s="7">
        <v>0.02</v>
      </c>
      <c r="E12" s="217">
        <v>3541332.8190000006</v>
      </c>
      <c r="F12" s="355">
        <f>F9*D12</f>
        <v>3441457.42</v>
      </c>
      <c r="G12" s="355">
        <f>$E$12-F12</f>
        <v>99875.399000000674</v>
      </c>
      <c r="H12" s="355">
        <f>H9*$D$12</f>
        <v>3469447.7600000002</v>
      </c>
      <c r="I12" s="355">
        <f>$E$12-H12</f>
        <v>71885.059000000358</v>
      </c>
      <c r="J12" s="355">
        <f>J9*D12</f>
        <v>3470817.9162000003</v>
      </c>
      <c r="K12" s="355">
        <f>$E$12-J12</f>
        <v>70514.902800000273</v>
      </c>
      <c r="L12" s="355">
        <f>L9*D12</f>
        <v>3359619.3413999998</v>
      </c>
      <c r="M12" s="355">
        <f>$E$12-L12</f>
        <v>181713.4776000008</v>
      </c>
      <c r="N12" s="355">
        <f>N9*D12</f>
        <v>3303245.1381999999</v>
      </c>
      <c r="O12" s="355">
        <f>$E$12-N12</f>
        <v>238087.68080000067</v>
      </c>
      <c r="P12" s="355">
        <f>P9*D12</f>
        <v>3105132.7226</v>
      </c>
      <c r="Q12" s="355">
        <f>$E$12-P12</f>
        <v>436200.09640000062</v>
      </c>
      <c r="R12" s="355">
        <f>R9*D12</f>
        <v>3476522.5624000002</v>
      </c>
      <c r="S12" s="355">
        <f>$E$12-R12</f>
        <v>64810.25660000043</v>
      </c>
      <c r="T12" s="355">
        <f>T9*D12</f>
        <v>3456339.36</v>
      </c>
      <c r="U12" s="355">
        <f>$E$12-T12</f>
        <v>84993.45900000073</v>
      </c>
      <c r="V12" s="217">
        <v>3541332.8190000006</v>
      </c>
      <c r="W12" s="355">
        <f>W9*D12</f>
        <v>3442529.4619999998</v>
      </c>
      <c r="X12" s="355">
        <f>$E$12-W12</f>
        <v>98803.357000000775</v>
      </c>
      <c r="Y12" s="355">
        <f>Y9*D12</f>
        <v>3368511.2</v>
      </c>
      <c r="Z12" s="355">
        <f>$E$12-Y12</f>
        <v>172821.61900000041</v>
      </c>
    </row>
    <row r="13" spans="1:26" x14ac:dyDescent="0.25">
      <c r="A13" s="8"/>
      <c r="B13" s="8" t="s">
        <v>133</v>
      </c>
      <c r="C13" s="8"/>
      <c r="D13" s="7">
        <v>0.05</v>
      </c>
      <c r="E13" s="217">
        <v>8853332.0475000013</v>
      </c>
      <c r="F13" s="355">
        <f>F9*D13</f>
        <v>8603643.5500000007</v>
      </c>
      <c r="G13" s="355">
        <f>$E$13-F13</f>
        <v>249688.49750000052</v>
      </c>
      <c r="H13" s="355">
        <f>H9*$D$13</f>
        <v>8673619.4000000004</v>
      </c>
      <c r="I13" s="355">
        <f>$E$13-H13</f>
        <v>179712.64750000089</v>
      </c>
      <c r="J13" s="355">
        <f>J9*D13</f>
        <v>8677044.7905000001</v>
      </c>
      <c r="K13" s="355">
        <f>$E$13-J13</f>
        <v>176287.25700000115</v>
      </c>
      <c r="L13" s="355">
        <f>L9*D13</f>
        <v>8399048.3534999993</v>
      </c>
      <c r="M13" s="355">
        <f>$E$13-L13</f>
        <v>454283.694000002</v>
      </c>
      <c r="N13" s="355">
        <f>N9*D13</f>
        <v>8258112.8454999998</v>
      </c>
      <c r="O13" s="355">
        <f>$E$13-N13</f>
        <v>595219.20200000145</v>
      </c>
      <c r="P13" s="355">
        <f>P9*D13</f>
        <v>7762831.8064999999</v>
      </c>
      <c r="Q13" s="355">
        <f>$E$13-P13</f>
        <v>1090500.2410000013</v>
      </c>
      <c r="R13" s="355">
        <f>R9*D13</f>
        <v>8691306.4060000014</v>
      </c>
      <c r="S13" s="355">
        <f>$E$13-R13</f>
        <v>162025.64149999991</v>
      </c>
      <c r="T13" s="355">
        <f>T9*D13</f>
        <v>8640848.4000000004</v>
      </c>
      <c r="U13" s="355">
        <f>$E$13-T13</f>
        <v>212483.64750000089</v>
      </c>
      <c r="V13" s="217">
        <v>8853332.0475000013</v>
      </c>
      <c r="W13" s="355">
        <f>W9*D13</f>
        <v>8606323.6549999993</v>
      </c>
      <c r="X13" s="355">
        <f>$E$13-W13</f>
        <v>247008.39250000194</v>
      </c>
      <c r="Y13" s="355">
        <f>Y9*D13</f>
        <v>8421278</v>
      </c>
      <c r="Z13" s="355">
        <f>$E$13-Y13</f>
        <v>432054.04750000127</v>
      </c>
    </row>
    <row r="14" spans="1:26" x14ac:dyDescent="0.25">
      <c r="A14" s="8"/>
      <c r="B14" s="8" t="s">
        <v>135</v>
      </c>
      <c r="C14" s="8"/>
      <c r="D14" s="7">
        <v>0.19</v>
      </c>
      <c r="E14" s="217">
        <v>1682133.0890250003</v>
      </c>
      <c r="F14" s="355">
        <f>F13*D14</f>
        <v>1634692.2745000001</v>
      </c>
      <c r="G14" s="355">
        <f>$E$14-F14</f>
        <v>47440.814525000285</v>
      </c>
      <c r="H14" s="355">
        <f>H13*$D$14</f>
        <v>1647987.686</v>
      </c>
      <c r="I14" s="355">
        <f>$E$14-H14</f>
        <v>34145.403025000356</v>
      </c>
      <c r="J14" s="355">
        <f>J13*D14</f>
        <v>1648638.5101950001</v>
      </c>
      <c r="K14" s="355">
        <f>$E$14-J14</f>
        <v>33494.578830000246</v>
      </c>
      <c r="L14" s="355">
        <f>L13*D14</f>
        <v>1595819.1871649998</v>
      </c>
      <c r="M14" s="355">
        <f>$E$14-L14</f>
        <v>86313.901860000566</v>
      </c>
      <c r="N14" s="355">
        <f>N13*D14</f>
        <v>1569041.440645</v>
      </c>
      <c r="O14" s="355">
        <f>$E$14-N14</f>
        <v>113091.64838000038</v>
      </c>
      <c r="P14" s="355">
        <f>P13*D14</f>
        <v>1474938.043235</v>
      </c>
      <c r="Q14" s="355">
        <f>$E$14-P14</f>
        <v>207195.04579000035</v>
      </c>
      <c r="R14" s="355">
        <f>R13*D14</f>
        <v>1651348.2171400003</v>
      </c>
      <c r="S14" s="355">
        <f>$E$14-R14</f>
        <v>30784.87188500003</v>
      </c>
      <c r="T14" s="355">
        <f>T13*D14</f>
        <v>1641761.196</v>
      </c>
      <c r="U14" s="355">
        <f>$E$14-T14</f>
        <v>40371.893025000347</v>
      </c>
      <c r="V14" s="217">
        <v>1682133.0890250003</v>
      </c>
      <c r="W14" s="355">
        <f>W13*D14</f>
        <v>1635201.4944499999</v>
      </c>
      <c r="X14" s="355">
        <f>$E$14-W14</f>
        <v>46931.594575000461</v>
      </c>
      <c r="Y14" s="355">
        <f>Y13*D14</f>
        <v>1600042.82</v>
      </c>
      <c r="Z14" s="355">
        <f>$E$14-Y14</f>
        <v>82090.269025000278</v>
      </c>
    </row>
    <row r="15" spans="1:26" s="16" customFormat="1" x14ac:dyDescent="0.25">
      <c r="A15" s="13"/>
      <c r="B15" s="439" t="s">
        <v>129</v>
      </c>
      <c r="C15" s="439"/>
      <c r="D15" s="439"/>
      <c r="E15" s="354">
        <f>SUM(E11:E14)</f>
        <v>37095461.279025003</v>
      </c>
      <c r="F15" s="356">
        <f>SUM(F11:F14)</f>
        <v>36049266.4745</v>
      </c>
      <c r="G15" s="356">
        <f>$E$15-F15</f>
        <v>1046194.8045250028</v>
      </c>
      <c r="H15" s="356">
        <f>SUM(H11:H14)</f>
        <v>36342465.285999998</v>
      </c>
      <c r="I15" s="356">
        <f>$E$15-H15</f>
        <v>752995.99302500486</v>
      </c>
      <c r="J15" s="362">
        <f>SUM(J11:J14)</f>
        <v>36356817.672195002</v>
      </c>
      <c r="K15" s="356">
        <f>$E$15-J15</f>
        <v>738643.60683000088</v>
      </c>
      <c r="L15" s="356">
        <f>SUM(L11:L14)</f>
        <v>35192012.601164997</v>
      </c>
      <c r="M15" s="356">
        <f>$E$15-L15</f>
        <v>1903448.6778600067</v>
      </c>
      <c r="N15" s="362">
        <f>SUM(N11:N14)</f>
        <v>34601492.822645001</v>
      </c>
      <c r="O15" s="356">
        <f>$E$15-N15</f>
        <v>2493968.4563800022</v>
      </c>
      <c r="P15" s="356">
        <f>SUM(P11:P14)</f>
        <v>32526265.269235</v>
      </c>
      <c r="Q15" s="356">
        <f>$E$15-P15</f>
        <v>4569196.0097900033</v>
      </c>
      <c r="R15" s="362">
        <f>SUM(R11:R14)</f>
        <v>36416573.841140002</v>
      </c>
      <c r="S15" s="356">
        <f>$E$15-R15</f>
        <v>678887.4378850013</v>
      </c>
      <c r="T15" s="362">
        <f>SUM(T11:T14)</f>
        <v>36205154.796000004</v>
      </c>
      <c r="U15" s="356">
        <f>$E$15-T15</f>
        <v>890306.4830249995</v>
      </c>
      <c r="V15" s="354">
        <f>SUM(V11:V14)</f>
        <v>37095461.279025003</v>
      </c>
      <c r="W15" s="362">
        <f>SUM(W11:W14)</f>
        <v>36060496.11445</v>
      </c>
      <c r="X15" s="356">
        <f>$E$15-W15</f>
        <v>1034965.1645750031</v>
      </c>
      <c r="Y15" s="362">
        <f>SUM(Y11:Y14)</f>
        <v>35285154.82</v>
      </c>
      <c r="Z15" s="356">
        <f>$E$15-Y15</f>
        <v>1810306.459025003</v>
      </c>
    </row>
    <row r="16" spans="1:26" s="17" customFormat="1" ht="16.5" x14ac:dyDescent="0.25">
      <c r="A16" s="441" t="s">
        <v>130</v>
      </c>
      <c r="B16" s="441"/>
      <c r="C16" s="441"/>
      <c r="D16" s="441"/>
      <c r="E16" s="18">
        <f>E9+E15</f>
        <v>214162102.22902501</v>
      </c>
      <c r="F16" s="357">
        <f>F9+F15</f>
        <v>208122137.4745</v>
      </c>
      <c r="G16" s="357">
        <f>$E$16-F16</f>
        <v>6039964.7545250058</v>
      </c>
      <c r="H16" s="361">
        <f>H9+H15</f>
        <v>209814853.28600001</v>
      </c>
      <c r="I16" s="357">
        <f>$E$16-H16</f>
        <v>4347248.9430249929</v>
      </c>
      <c r="J16" s="361">
        <f>J9+J15</f>
        <v>209897713.48219502</v>
      </c>
      <c r="K16" s="357">
        <f>$E$16-J16</f>
        <v>4264388.7468299866</v>
      </c>
      <c r="L16" s="361">
        <f>L9+L15</f>
        <v>203172979.67116499</v>
      </c>
      <c r="M16" s="357">
        <f>$E$16-L16</f>
        <v>10989122.557860017</v>
      </c>
      <c r="N16" s="361">
        <f>N9+N15</f>
        <v>199763749.732645</v>
      </c>
      <c r="O16" s="357">
        <f>$E$16-N16</f>
        <v>14398352.496380001</v>
      </c>
      <c r="P16" s="361">
        <f>P9+P15</f>
        <v>187782901.39923501</v>
      </c>
      <c r="Q16" s="357">
        <f>$E$16-P16</f>
        <v>26379200.829789996</v>
      </c>
      <c r="R16" s="361">
        <f>R9+R15</f>
        <v>210242701.96114001</v>
      </c>
      <c r="S16" s="357">
        <f>$E$16-R16</f>
        <v>3919400.2678849995</v>
      </c>
      <c r="T16" s="361">
        <f>T9+T15</f>
        <v>209022122.796</v>
      </c>
      <c r="U16" s="357">
        <f>$E$16-T16</f>
        <v>5139979.4330250025</v>
      </c>
      <c r="V16" s="18">
        <f>V9+V15</f>
        <v>214162102.22902501</v>
      </c>
      <c r="W16" s="361">
        <f>W9+W15</f>
        <v>208186969.21445</v>
      </c>
      <c r="X16" s="357">
        <f>$E$16-W16</f>
        <v>5975133.0145750046</v>
      </c>
      <c r="Y16" s="361">
        <f>Y9+Y15</f>
        <v>203710714.81999999</v>
      </c>
      <c r="Z16" s="357">
        <f>$E$16-Y16</f>
        <v>10451387.409025013</v>
      </c>
    </row>
    <row r="17" spans="1:26" x14ac:dyDescent="0.25">
      <c r="F17" s="23"/>
      <c r="H17" s="23"/>
      <c r="J17" s="23"/>
      <c r="L17" s="23"/>
      <c r="N17" s="23"/>
      <c r="P17" s="23"/>
      <c r="R17" s="23"/>
      <c r="T17" s="23"/>
      <c r="W17" s="23"/>
      <c r="Y17" s="23"/>
    </row>
    <row r="18" spans="1:26" x14ac:dyDescent="0.25">
      <c r="F18" s="23"/>
      <c r="H18" s="23"/>
      <c r="J18" s="23"/>
      <c r="L18" s="23"/>
      <c r="N18" s="23"/>
      <c r="P18" s="23"/>
      <c r="R18" s="23"/>
      <c r="T18" s="23"/>
      <c r="W18" s="23"/>
      <c r="Y18" s="23"/>
    </row>
    <row r="19" spans="1:26" ht="40.5" x14ac:dyDescent="0.25">
      <c r="A19" s="11" t="s">
        <v>127</v>
      </c>
      <c r="B19" s="12" t="s">
        <v>7</v>
      </c>
      <c r="C19" s="12" t="s">
        <v>4</v>
      </c>
      <c r="D19" s="12" t="s">
        <v>138</v>
      </c>
      <c r="E19" s="14" t="s">
        <v>137</v>
      </c>
      <c r="F19" s="12" t="str">
        <f>F1</f>
        <v>Fundacion Espeletia</v>
      </c>
      <c r="G19" s="12" t="s">
        <v>271</v>
      </c>
      <c r="H19" s="12" t="str">
        <f>H1</f>
        <v>GESTION RURAL Y URBANA S.A.S</v>
      </c>
      <c r="I19" s="12" t="s">
        <v>271</v>
      </c>
      <c r="J19" s="12" t="str">
        <f>J1</f>
        <v>CONSORCIO ORIENTAL</v>
      </c>
      <c r="K19" s="12" t="s">
        <v>271</v>
      </c>
      <c r="L19" s="12" t="str">
        <f>L1</f>
        <v>CONSORCIO INGECAR</v>
      </c>
      <c r="M19" s="12" t="s">
        <v>271</v>
      </c>
      <c r="N19" s="12" t="str">
        <f>N1</f>
        <v>CONSORCIO ABR INGENIERIA</v>
      </c>
      <c r="O19" s="12" t="s">
        <v>271</v>
      </c>
      <c r="P19" s="12" t="str">
        <f>P1</f>
        <v>ANDRES JAVIER GRANADOS ARCINIEGAS</v>
      </c>
      <c r="Q19" s="12" t="s">
        <v>271</v>
      </c>
      <c r="R19" s="12" t="str">
        <f>R1</f>
        <v>CONSORCIO LA ESPERANZA 2023</v>
      </c>
      <c r="S19" s="12" t="s">
        <v>271</v>
      </c>
      <c r="T19" s="12" t="str">
        <f>T1</f>
        <v>LIMACOR MY S.A.S.</v>
      </c>
      <c r="U19" s="12" t="s">
        <v>271</v>
      </c>
      <c r="V19" s="14" t="s">
        <v>137</v>
      </c>
      <c r="W19" s="12" t="str">
        <f>W1</f>
        <v>CONSORCIO MERC 2022</v>
      </c>
      <c r="X19" s="12" t="s">
        <v>271</v>
      </c>
      <c r="Y19" s="12" t="str">
        <f>Y1</f>
        <v>CONSORCIO CONSTRUHOR</v>
      </c>
      <c r="Z19" s="12" t="s">
        <v>271</v>
      </c>
    </row>
    <row r="20" spans="1:26" x14ac:dyDescent="0.25">
      <c r="A20" s="216">
        <v>1</v>
      </c>
      <c r="B20" s="5" t="s">
        <v>163</v>
      </c>
      <c r="C20" s="6" t="s">
        <v>4</v>
      </c>
      <c r="D20" s="3">
        <v>1</v>
      </c>
      <c r="E20" s="217">
        <v>1735185.7000000002</v>
      </c>
      <c r="F20" s="355">
        <v>1686253</v>
      </c>
      <c r="G20" s="355">
        <f>$E$20-F20</f>
        <v>48932.700000000186</v>
      </c>
      <c r="H20" s="355">
        <v>1699965</v>
      </c>
      <c r="I20" s="355">
        <f>$E$20-H20</f>
        <v>35220.700000000186</v>
      </c>
      <c r="J20" s="355">
        <v>1700637</v>
      </c>
      <c r="K20" s="355">
        <f>$E$20-J20</f>
        <v>34548.700000000186</v>
      </c>
      <c r="L20" s="355">
        <v>1673592</v>
      </c>
      <c r="M20" s="355">
        <f>$E$20-L20</f>
        <v>61593.700000000186</v>
      </c>
      <c r="N20" s="355">
        <v>1618527</v>
      </c>
      <c r="O20" s="355">
        <f>$E$20-N20</f>
        <v>116658.70000000019</v>
      </c>
      <c r="P20" s="355">
        <v>1697880</v>
      </c>
      <c r="Q20" s="355">
        <f>$E$20-P20</f>
        <v>37305.700000000186</v>
      </c>
      <c r="R20" s="355">
        <v>1700485</v>
      </c>
      <c r="S20" s="355">
        <f>$E$20-R20</f>
        <v>34700.700000000186</v>
      </c>
      <c r="T20" s="355">
        <v>1693541</v>
      </c>
      <c r="U20" s="355">
        <f>$E$20-T20</f>
        <v>41644.700000000186</v>
      </c>
      <c r="V20" s="217">
        <v>1735185.7000000002</v>
      </c>
      <c r="W20" s="355">
        <v>1686771</v>
      </c>
      <c r="X20" s="355">
        <f>$E$20-W20</f>
        <v>48414.700000000186</v>
      </c>
      <c r="Y20" s="355">
        <v>1735189</v>
      </c>
      <c r="Z20" s="355">
        <f>$E$20-Y20</f>
        <v>-3.2999999998137355</v>
      </c>
    </row>
    <row r="21" spans="1:26" x14ac:dyDescent="0.25">
      <c r="A21" s="216">
        <v>2</v>
      </c>
      <c r="B21" s="5" t="s">
        <v>164</v>
      </c>
      <c r="C21" s="6" t="s">
        <v>4</v>
      </c>
      <c r="D21" s="3">
        <v>1</v>
      </c>
      <c r="E21" s="217">
        <v>2304172.5</v>
      </c>
      <c r="F21" s="355">
        <v>2239190</v>
      </c>
      <c r="G21" s="355">
        <f>$E$21-F21</f>
        <v>64982.5</v>
      </c>
      <c r="H21" s="355">
        <v>2257398</v>
      </c>
      <c r="I21" s="355">
        <f>$E$21-H21</f>
        <v>46774.5</v>
      </c>
      <c r="J21" s="355">
        <v>2258297</v>
      </c>
      <c r="K21" s="355">
        <f>$E$21-J21</f>
        <v>45875.5</v>
      </c>
      <c r="L21" s="355">
        <v>2222375</v>
      </c>
      <c r="M21" s="355">
        <f>$E$21-L21</f>
        <v>81797.5</v>
      </c>
      <c r="N21" s="355">
        <v>2149261</v>
      </c>
      <c r="O21" s="355">
        <f>$E$21-N21</f>
        <v>154911.5</v>
      </c>
      <c r="P21" s="355">
        <v>2254633</v>
      </c>
      <c r="Q21" s="355">
        <f>$E$21-P21</f>
        <v>49539.5</v>
      </c>
      <c r="R21" s="355">
        <v>2258090</v>
      </c>
      <c r="S21" s="355">
        <f>$E$21-R21</f>
        <v>46082.5</v>
      </c>
      <c r="T21" s="355">
        <v>2248873</v>
      </c>
      <c r="U21" s="355">
        <f>$E$21-T21</f>
        <v>55299.5</v>
      </c>
      <c r="V21" s="217">
        <v>2304172.5</v>
      </c>
      <c r="W21" s="355">
        <v>2239886</v>
      </c>
      <c r="X21" s="355">
        <f>$E$21-W21</f>
        <v>64286.5</v>
      </c>
      <c r="Y21" s="355">
        <v>2304173</v>
      </c>
      <c r="Z21" s="355">
        <f>$E$21-Y21</f>
        <v>-0.5</v>
      </c>
    </row>
    <row r="22" spans="1:26" x14ac:dyDescent="0.25">
      <c r="A22" s="216">
        <v>3</v>
      </c>
      <c r="B22" s="5" t="s">
        <v>167</v>
      </c>
      <c r="C22" s="6" t="s">
        <v>4</v>
      </c>
      <c r="D22" s="3">
        <v>1</v>
      </c>
      <c r="E22" s="217">
        <v>154385.60000000001</v>
      </c>
      <c r="F22" s="355">
        <v>150031</v>
      </c>
      <c r="G22" s="355">
        <f>$E$22-F22</f>
        <v>4354.6000000000058</v>
      </c>
      <c r="H22" s="355">
        <v>151252</v>
      </c>
      <c r="I22" s="355">
        <f>$E$22-H22</f>
        <v>3133.6000000000058</v>
      </c>
      <c r="J22" s="355">
        <v>151311</v>
      </c>
      <c r="K22" s="355">
        <f>$E$22-J22</f>
        <v>3074.6000000000058</v>
      </c>
      <c r="L22" s="355">
        <v>148905</v>
      </c>
      <c r="M22" s="355">
        <f>$E$22-L22</f>
        <v>5480.6000000000058</v>
      </c>
      <c r="N22" s="355">
        <v>144007</v>
      </c>
      <c r="O22" s="355">
        <f>$E$22-N22</f>
        <v>10378.600000000006</v>
      </c>
      <c r="P22" s="355">
        <v>151066</v>
      </c>
      <c r="Q22" s="355">
        <f>$E$22-P22</f>
        <v>3319.6000000000058</v>
      </c>
      <c r="R22" s="355">
        <v>151297</v>
      </c>
      <c r="S22" s="355">
        <f>$E$22-R22</f>
        <v>3088.6000000000058</v>
      </c>
      <c r="T22" s="355">
        <v>150679</v>
      </c>
      <c r="U22" s="355">
        <f>$E$22-T22</f>
        <v>3706.6000000000058</v>
      </c>
      <c r="V22" s="217">
        <v>154385.60000000001</v>
      </c>
      <c r="W22" s="355">
        <v>150079</v>
      </c>
      <c r="X22" s="355">
        <f>$E$22-W22</f>
        <v>4306.6000000000058</v>
      </c>
      <c r="Y22" s="355">
        <v>154385</v>
      </c>
      <c r="Z22" s="355">
        <f>$E$22-Y22</f>
        <v>0.60000000000582077</v>
      </c>
    </row>
    <row r="23" spans="1:26" x14ac:dyDescent="0.25">
      <c r="A23" s="216">
        <v>4</v>
      </c>
      <c r="B23" s="5" t="s">
        <v>169</v>
      </c>
      <c r="C23" s="6" t="s">
        <v>4</v>
      </c>
      <c r="D23" s="3">
        <v>1</v>
      </c>
      <c r="E23" s="217">
        <v>170031.065</v>
      </c>
      <c r="F23" s="355">
        <v>165236</v>
      </c>
      <c r="G23" s="355">
        <f>$E$23-F23</f>
        <v>4795.0650000000023</v>
      </c>
      <c r="H23" s="355">
        <v>166578</v>
      </c>
      <c r="I23" s="355">
        <f>$E$23-H23</f>
        <v>3453.0650000000023</v>
      </c>
      <c r="J23" s="355">
        <v>166645</v>
      </c>
      <c r="K23" s="355">
        <f>$E$23-J23</f>
        <v>3386.0650000000023</v>
      </c>
      <c r="L23" s="355">
        <v>163994</v>
      </c>
      <c r="M23" s="355">
        <f>$E$23-L23</f>
        <v>6037.0650000000023</v>
      </c>
      <c r="N23" s="355">
        <v>158599</v>
      </c>
      <c r="O23" s="355">
        <f>$E$23-N23</f>
        <v>11432.065000000002</v>
      </c>
      <c r="P23" s="355">
        <v>166375</v>
      </c>
      <c r="Q23" s="355">
        <f>$E$23-P23</f>
        <v>3656.0650000000023</v>
      </c>
      <c r="R23" s="355">
        <v>166630</v>
      </c>
      <c r="S23" s="355">
        <f>$E$23-R23</f>
        <v>3401.0650000000023</v>
      </c>
      <c r="T23" s="355">
        <v>165951</v>
      </c>
      <c r="U23" s="355">
        <f>$E$23-T23</f>
        <v>4080.0650000000023</v>
      </c>
      <c r="V23" s="217">
        <v>170031.065</v>
      </c>
      <c r="W23" s="355">
        <v>165287</v>
      </c>
      <c r="X23" s="355">
        <f>$E$23-W23</f>
        <v>4744.0650000000023</v>
      </c>
      <c r="Y23" s="355">
        <v>170031</v>
      </c>
      <c r="Z23" s="355">
        <f>$E$23-Y23</f>
        <v>6.5000000002328306E-2</v>
      </c>
    </row>
    <row r="24" spans="1:26" x14ac:dyDescent="0.25">
      <c r="A24" s="216">
        <v>5</v>
      </c>
      <c r="B24" s="5" t="s">
        <v>185</v>
      </c>
      <c r="C24" s="6" t="s">
        <v>4</v>
      </c>
      <c r="D24" s="3">
        <v>1</v>
      </c>
      <c r="E24" s="217">
        <v>2993035.75</v>
      </c>
      <c r="F24" s="355">
        <v>2908628</v>
      </c>
      <c r="G24" s="355">
        <f>$E$24-F24</f>
        <v>84407.75</v>
      </c>
      <c r="H24" s="355">
        <v>2932279</v>
      </c>
      <c r="I24" s="355">
        <f>$E$24-H24</f>
        <v>60756.75</v>
      </c>
      <c r="J24" s="355">
        <v>2933444</v>
      </c>
      <c r="K24" s="355">
        <f>$E$24-J24</f>
        <v>59591.75</v>
      </c>
      <c r="L24" s="355">
        <v>2886787</v>
      </c>
      <c r="M24" s="355">
        <f>$E$24-L24</f>
        <v>106248.75</v>
      </c>
      <c r="N24" s="355">
        <v>2791814</v>
      </c>
      <c r="O24" s="355">
        <f>$E$24-N24</f>
        <v>201221.75</v>
      </c>
      <c r="P24" s="355">
        <v>2928689</v>
      </c>
      <c r="Q24" s="355">
        <f>$E$24-P24</f>
        <v>64346.75</v>
      </c>
      <c r="R24" s="355">
        <v>2933179</v>
      </c>
      <c r="S24" s="355">
        <f>$E$24-R24</f>
        <v>59856.75</v>
      </c>
      <c r="T24" s="355">
        <v>2921205</v>
      </c>
      <c r="U24" s="355">
        <f>$E$24-T24</f>
        <v>71830.75</v>
      </c>
      <c r="V24" s="217">
        <v>2993035.75</v>
      </c>
      <c r="W24" s="355">
        <v>2909530</v>
      </c>
      <c r="X24" s="355">
        <f>$E$24-W24</f>
        <v>83505.75</v>
      </c>
      <c r="Y24" s="355">
        <v>2993038</v>
      </c>
      <c r="Z24" s="355">
        <f>$E$24-Y24</f>
        <v>-2.25</v>
      </c>
    </row>
    <row r="25" spans="1:26" ht="27" x14ac:dyDescent="0.25">
      <c r="A25" s="216">
        <v>6</v>
      </c>
      <c r="B25" s="5" t="s">
        <v>201</v>
      </c>
      <c r="C25" s="6" t="s">
        <v>4</v>
      </c>
      <c r="D25" s="3">
        <v>1</v>
      </c>
      <c r="E25" s="217">
        <v>8807702.4499999993</v>
      </c>
      <c r="F25" s="355">
        <v>8559311</v>
      </c>
      <c r="G25" s="355">
        <f>$E$25-F25</f>
        <v>248391.44999999925</v>
      </c>
      <c r="H25" s="355">
        <v>8628910</v>
      </c>
      <c r="I25" s="355">
        <f>$E$25-H25</f>
        <v>178792.44999999925</v>
      </c>
      <c r="J25" s="355">
        <v>8632345</v>
      </c>
      <c r="K25" s="355">
        <f>$E$25-J25</f>
        <v>175357.44999999925</v>
      </c>
      <c r="L25" s="355">
        <v>8495033</v>
      </c>
      <c r="M25" s="355">
        <f>$E$25-L25</f>
        <v>312669.44999999925</v>
      </c>
      <c r="N25" s="355">
        <v>8215557</v>
      </c>
      <c r="O25" s="355">
        <f>$E$25-N25</f>
        <v>592145.44999999925</v>
      </c>
      <c r="P25" s="355">
        <v>8618342</v>
      </c>
      <c r="Q25" s="355">
        <f>$E$25-P25</f>
        <v>189360.44999999925</v>
      </c>
      <c r="R25" s="355">
        <v>8631553</v>
      </c>
      <c r="S25" s="355">
        <f>$E$25-R25</f>
        <v>176149.44999999925</v>
      </c>
      <c r="T25" s="355">
        <v>8596319</v>
      </c>
      <c r="U25" s="355">
        <f>$E$25-T25</f>
        <v>211383.44999999925</v>
      </c>
      <c r="V25" s="217">
        <v>8807702.4499999993</v>
      </c>
      <c r="W25" s="355">
        <v>8561966</v>
      </c>
      <c r="X25" s="355">
        <f>$E$25-W25</f>
        <v>245736.44999999925</v>
      </c>
      <c r="Y25" s="355">
        <v>8807705</v>
      </c>
      <c r="Z25" s="355">
        <f>$E$25-Y25</f>
        <v>-2.5500000007450581</v>
      </c>
    </row>
    <row r="26" spans="1:26" ht="27" x14ac:dyDescent="0.25">
      <c r="A26" s="216">
        <v>7</v>
      </c>
      <c r="B26" s="5" t="s">
        <v>367</v>
      </c>
      <c r="C26" s="6" t="s">
        <v>4</v>
      </c>
      <c r="D26" s="3">
        <v>1</v>
      </c>
      <c r="E26" s="217">
        <v>1620701.3000000003</v>
      </c>
      <c r="F26" s="355">
        <v>1574991</v>
      </c>
      <c r="G26" s="355">
        <f>$E$26-F26</f>
        <v>45710.300000000279</v>
      </c>
      <c r="H26" s="355">
        <v>1587799</v>
      </c>
      <c r="I26" s="355">
        <f>$E$26-H26</f>
        <v>32902.300000000279</v>
      </c>
      <c r="J26" s="355">
        <v>1588431</v>
      </c>
      <c r="K26" s="355">
        <f>$E$26-J26</f>
        <v>32270.300000000279</v>
      </c>
      <c r="L26" s="355">
        <v>1563164</v>
      </c>
      <c r="M26" s="355">
        <f>$E$26-L26</f>
        <v>57537.300000000279</v>
      </c>
      <c r="N26" s="355">
        <v>1511738</v>
      </c>
      <c r="O26" s="355">
        <f>$E$26-N26</f>
        <v>108963.30000000028</v>
      </c>
      <c r="P26" s="355">
        <v>1585857</v>
      </c>
      <c r="Q26" s="355">
        <f>$E$26-P26</f>
        <v>34844.300000000279</v>
      </c>
      <c r="R26" s="355">
        <v>1588283</v>
      </c>
      <c r="S26" s="355">
        <f>$E$26-R26</f>
        <v>32418.300000000279</v>
      </c>
      <c r="T26" s="355">
        <v>1581801</v>
      </c>
      <c r="U26" s="355">
        <f>$E$26-T26</f>
        <v>38900.300000000279</v>
      </c>
      <c r="V26" s="217">
        <v>1620701.3</v>
      </c>
      <c r="W26" s="355">
        <v>1575485</v>
      </c>
      <c r="X26" s="355">
        <f>$E$26-W26</f>
        <v>45216.300000000279</v>
      </c>
      <c r="Y26" s="355">
        <v>1620701</v>
      </c>
      <c r="Z26" s="355">
        <f>$E$26-Y26</f>
        <v>0.30000000027939677</v>
      </c>
    </row>
    <row r="27" spans="1:26" x14ac:dyDescent="0.25">
      <c r="A27" s="216">
        <v>8</v>
      </c>
      <c r="B27" s="4" t="s">
        <v>216</v>
      </c>
      <c r="C27" s="6" t="s">
        <v>4</v>
      </c>
      <c r="D27" s="3">
        <v>1</v>
      </c>
      <c r="E27" s="217">
        <v>892909.04999999993</v>
      </c>
      <c r="F27" s="355">
        <v>867726</v>
      </c>
      <c r="G27" s="355">
        <f>$E$27-F27</f>
        <v>25183.04999999993</v>
      </c>
      <c r="H27" s="355">
        <v>874784</v>
      </c>
      <c r="I27" s="355">
        <f>$E$27-H27</f>
        <v>18125.04999999993</v>
      </c>
      <c r="J27" s="355">
        <v>875130</v>
      </c>
      <c r="K27" s="355">
        <f>$E$27-J27</f>
        <v>17779.04999999993</v>
      </c>
      <c r="L27" s="355">
        <v>861211</v>
      </c>
      <c r="M27" s="355">
        <f>$E$27-L27</f>
        <v>31698.04999999993</v>
      </c>
      <c r="N27" s="355">
        <v>832878</v>
      </c>
      <c r="O27" s="355">
        <f>$E$27-N27</f>
        <v>60031.04999999993</v>
      </c>
      <c r="P27" s="355">
        <v>873712</v>
      </c>
      <c r="Q27" s="355">
        <f>$E$27-P27</f>
        <v>19197.04999999993</v>
      </c>
      <c r="R27" s="355">
        <v>875053</v>
      </c>
      <c r="S27" s="355">
        <f>$E$27-R27</f>
        <v>17856.04999999993</v>
      </c>
      <c r="T27" s="355">
        <v>871478</v>
      </c>
      <c r="U27" s="355">
        <f>$E$27-T27</f>
        <v>21431.04999999993</v>
      </c>
      <c r="V27" s="217">
        <v>892909.04999999993</v>
      </c>
      <c r="W27" s="355">
        <v>868000</v>
      </c>
      <c r="X27" s="355">
        <f>$E$27-W27</f>
        <v>24909.04999999993</v>
      </c>
      <c r="Y27" s="355">
        <v>892909</v>
      </c>
      <c r="Z27" s="355">
        <f>$E$27-Y27</f>
        <v>4.9999999930150807E-2</v>
      </c>
    </row>
    <row r="28" spans="1:26" ht="27" x14ac:dyDescent="0.25">
      <c r="A28" s="216">
        <v>9</v>
      </c>
      <c r="B28" s="4" t="s">
        <v>241</v>
      </c>
      <c r="C28" s="6" t="s">
        <v>4</v>
      </c>
      <c r="D28" s="3">
        <v>1</v>
      </c>
      <c r="E28" s="217">
        <v>8239266.8000000007</v>
      </c>
      <c r="F28" s="355">
        <v>8006908</v>
      </c>
      <c r="G28" s="355">
        <f>$E$28-F28</f>
        <v>232358.80000000075</v>
      </c>
      <c r="H28" s="355">
        <v>8072015</v>
      </c>
      <c r="I28" s="355">
        <f>$E$28-H28</f>
        <v>167251.80000000075</v>
      </c>
      <c r="J28" s="355">
        <v>8075230</v>
      </c>
      <c r="K28" s="355">
        <f>$E$28-J28</f>
        <v>164036.80000000075</v>
      </c>
      <c r="L28" s="355">
        <v>7946777</v>
      </c>
      <c r="M28" s="355">
        <f>$E$28-L28</f>
        <v>292489.80000000075</v>
      </c>
      <c r="N28" s="355">
        <v>7685343</v>
      </c>
      <c r="O28" s="355">
        <f>$E$28-N28</f>
        <v>553923.80000000075</v>
      </c>
      <c r="P28" s="355">
        <v>8062127</v>
      </c>
      <c r="Q28" s="355">
        <f>$E$28-P28</f>
        <v>177139.80000000075</v>
      </c>
      <c r="R28" s="355">
        <v>8074488</v>
      </c>
      <c r="S28" s="355">
        <f>$E$28-R28</f>
        <v>164778.80000000075</v>
      </c>
      <c r="T28" s="355">
        <v>8041532</v>
      </c>
      <c r="U28" s="355">
        <f>$E$28-T28</f>
        <v>197734.80000000075</v>
      </c>
      <c r="V28" s="217">
        <v>8239266.8000000007</v>
      </c>
      <c r="W28" s="355">
        <v>8009389</v>
      </c>
      <c r="X28" s="355">
        <f>$E$28-W28</f>
        <v>229877.80000000075</v>
      </c>
      <c r="Y28" s="355">
        <v>8239271</v>
      </c>
      <c r="Z28" s="355">
        <f>$E$28-Y28</f>
        <v>-4.1999999992549419</v>
      </c>
    </row>
    <row r="29" spans="1:26" ht="27" x14ac:dyDescent="0.25">
      <c r="A29" s="216">
        <v>10</v>
      </c>
      <c r="B29" s="4" t="s">
        <v>252</v>
      </c>
      <c r="C29" s="6" t="s">
        <v>4</v>
      </c>
      <c r="D29" s="3">
        <v>1</v>
      </c>
      <c r="E29" s="217">
        <v>7372103.9999999991</v>
      </c>
      <c r="F29" s="355">
        <v>7164201</v>
      </c>
      <c r="G29" s="355">
        <f>$E$29-F29</f>
        <v>207902.99999999907</v>
      </c>
      <c r="H29" s="355">
        <v>7222453</v>
      </c>
      <c r="I29" s="355">
        <f>$E$29-H29</f>
        <v>149650.99999999907</v>
      </c>
      <c r="J29" s="355">
        <v>7225330</v>
      </c>
      <c r="K29" s="355">
        <f>$E$29-J29</f>
        <v>146773.99999999907</v>
      </c>
      <c r="L29" s="355">
        <v>7110399</v>
      </c>
      <c r="M29" s="355">
        <f>$E$29-L29</f>
        <v>261704.99999999907</v>
      </c>
      <c r="N29" s="355">
        <v>6876476</v>
      </c>
      <c r="O29" s="355">
        <f>$E$29-N29</f>
        <v>495627.99999999907</v>
      </c>
      <c r="P29" s="355">
        <v>7213608</v>
      </c>
      <c r="Q29" s="355">
        <f>$E$29-P29</f>
        <v>158495.99999999907</v>
      </c>
      <c r="R29" s="355">
        <v>7221440</v>
      </c>
      <c r="S29" s="355">
        <f>$E$29-R29</f>
        <v>150663.99999999907</v>
      </c>
      <c r="T29" s="355">
        <v>7195178</v>
      </c>
      <c r="U29" s="355">
        <f>$E$29-T29</f>
        <v>176925.99999999907</v>
      </c>
      <c r="V29" s="217">
        <v>7372103.9999999991</v>
      </c>
      <c r="W29" s="355">
        <v>7166422</v>
      </c>
      <c r="X29" s="355">
        <f>$E$29-W29</f>
        <v>205681.99999999907</v>
      </c>
      <c r="Y29" s="355">
        <v>7372107</v>
      </c>
      <c r="Z29" s="355">
        <f>$E$29-Y29</f>
        <v>-3.0000000009313226</v>
      </c>
    </row>
    <row r="30" spans="1:26" x14ac:dyDescent="0.25">
      <c r="A30" s="216">
        <v>11</v>
      </c>
      <c r="B30" s="5" t="s">
        <v>258</v>
      </c>
      <c r="C30" s="6" t="s">
        <v>4</v>
      </c>
      <c r="D30" s="3">
        <v>1</v>
      </c>
      <c r="E30" s="217">
        <v>3498106.95</v>
      </c>
      <c r="F30" s="355">
        <v>3399453</v>
      </c>
      <c r="G30" s="355">
        <f>$E$30-F30</f>
        <v>98653.950000000186</v>
      </c>
      <c r="H30" s="355">
        <v>3427095</v>
      </c>
      <c r="I30" s="355">
        <f>$E$30-H30</f>
        <v>71011.950000000186</v>
      </c>
      <c r="J30" s="355">
        <v>3428458</v>
      </c>
      <c r="K30" s="355">
        <f>$E$30-J30</f>
        <v>69648.950000000186</v>
      </c>
      <c r="L30" s="355">
        <v>3373924</v>
      </c>
      <c r="M30" s="355">
        <f>$E$30-L30</f>
        <v>124182.95000000019</v>
      </c>
      <c r="N30" s="355">
        <v>3262927</v>
      </c>
      <c r="O30" s="355">
        <f>$E$30-N30</f>
        <v>235179.95000000019</v>
      </c>
      <c r="P30" s="355">
        <v>3422899</v>
      </c>
      <c r="Q30" s="355">
        <f>$E$30-P30</f>
        <v>75207.950000000186</v>
      </c>
      <c r="R30" s="355">
        <v>3498107</v>
      </c>
      <c r="S30" s="355">
        <f>$E$30-R30</f>
        <v>-4.9999999813735485E-2</v>
      </c>
      <c r="T30" s="355">
        <v>3414153</v>
      </c>
      <c r="U30" s="355">
        <f>$E$30-T30</f>
        <v>83953.950000000186</v>
      </c>
      <c r="V30" s="217">
        <v>3498106.95</v>
      </c>
      <c r="W30" s="355">
        <v>3400509</v>
      </c>
      <c r="X30" s="355">
        <f>$E$30-W30</f>
        <v>97597.950000000186</v>
      </c>
      <c r="Y30" s="355">
        <v>3498107</v>
      </c>
      <c r="Z30" s="355">
        <f>$E$30-Y30</f>
        <v>-4.9999999813735485E-2</v>
      </c>
    </row>
    <row r="31" spans="1:26" ht="27" x14ac:dyDescent="0.25">
      <c r="A31" s="216">
        <v>12</v>
      </c>
      <c r="B31" s="5" t="s">
        <v>262</v>
      </c>
      <c r="C31" s="6" t="s">
        <v>4</v>
      </c>
      <c r="D31" s="3">
        <v>1</v>
      </c>
      <c r="E31" s="217">
        <v>217729.05000000002</v>
      </c>
      <c r="F31" s="355">
        <v>211588</v>
      </c>
      <c r="G31" s="355">
        <f>$E$31-F31</f>
        <v>6141.0500000000175</v>
      </c>
      <c r="H31" s="355">
        <v>213310</v>
      </c>
      <c r="I31" s="355">
        <f>$E$31-H31</f>
        <v>4419.0500000000175</v>
      </c>
      <c r="J31" s="355">
        <v>213394</v>
      </c>
      <c r="K31" s="355">
        <f>$E$31-J31</f>
        <v>4335.0500000000175</v>
      </c>
      <c r="L31" s="355">
        <v>210001</v>
      </c>
      <c r="M31" s="355">
        <f>$E$31-L31</f>
        <v>7728.0500000000175</v>
      </c>
      <c r="N31" s="355">
        <v>203091</v>
      </c>
      <c r="O31" s="355">
        <f>$E$31-N31</f>
        <v>14638.050000000017</v>
      </c>
      <c r="P31" s="355">
        <v>213048</v>
      </c>
      <c r="Q31" s="355">
        <f>$E$31-P31</f>
        <v>4681.0500000000175</v>
      </c>
      <c r="R31" s="355">
        <v>212662</v>
      </c>
      <c r="S31" s="355">
        <f>$E$31-R31</f>
        <v>5067.0500000000175</v>
      </c>
      <c r="T31" s="355">
        <v>212503</v>
      </c>
      <c r="U31" s="355">
        <f>$E$31-T31</f>
        <v>5226.0500000000175</v>
      </c>
      <c r="V31" s="217">
        <v>217729.05000000002</v>
      </c>
      <c r="W31" s="355">
        <v>211655</v>
      </c>
      <c r="X31" s="355">
        <f>$E$31-W31</f>
        <v>6074.0500000000175</v>
      </c>
      <c r="Y31" s="355">
        <v>217728</v>
      </c>
      <c r="Z31" s="355">
        <f>$E$31-Y31</f>
        <v>1.0500000000174623</v>
      </c>
    </row>
    <row r="32" spans="1:26" x14ac:dyDescent="0.25">
      <c r="A32" s="439" t="s">
        <v>128</v>
      </c>
      <c r="B32" s="439"/>
      <c r="C32" s="439"/>
      <c r="D32" s="439"/>
      <c r="E32" s="354">
        <v>38005344</v>
      </c>
      <c r="F32" s="356">
        <f>SUM(F20:F31)</f>
        <v>36933516</v>
      </c>
      <c r="G32" s="356">
        <f>$E$32-F32</f>
        <v>1071828</v>
      </c>
      <c r="H32" s="362">
        <f>SUM(H20:H31)</f>
        <v>37233838</v>
      </c>
      <c r="I32" s="356">
        <f>$E$32-H32</f>
        <v>771506</v>
      </c>
      <c r="J32" s="362">
        <f>SUM(J20:J31)</f>
        <v>37248652</v>
      </c>
      <c r="K32" s="356">
        <f>$E$32-J32</f>
        <v>756692</v>
      </c>
      <c r="L32" s="362">
        <f>SUM(L20:L31)</f>
        <v>36656162</v>
      </c>
      <c r="M32" s="356">
        <f>$E$32-L32</f>
        <v>1349182</v>
      </c>
      <c r="N32" s="362">
        <f>SUM(N20:N31)</f>
        <v>35450218</v>
      </c>
      <c r="O32" s="356">
        <f>$E$32-N32</f>
        <v>2555126</v>
      </c>
      <c r="P32" s="356">
        <f>SUM(P20:P31)</f>
        <v>37188236</v>
      </c>
      <c r="Q32" s="356">
        <f>$E$32-P32</f>
        <v>817108</v>
      </c>
      <c r="R32" s="356">
        <f>SUM(R20:R31)</f>
        <v>37311267</v>
      </c>
      <c r="S32" s="356">
        <f>$E$32-R32</f>
        <v>694077</v>
      </c>
      <c r="T32" s="356">
        <f>SUM(T20:T31)</f>
        <v>37093213</v>
      </c>
      <c r="U32" s="356">
        <f>$E$32-T32</f>
        <v>912131</v>
      </c>
      <c r="V32" s="354">
        <v>38005344</v>
      </c>
      <c r="W32" s="356">
        <f>SUM(W20:W31)</f>
        <v>36944979</v>
      </c>
      <c r="X32" s="356">
        <f>$E$32-W32</f>
        <v>1060365</v>
      </c>
      <c r="Y32" s="356">
        <f>SUM(Y20:Y31)</f>
        <v>38005344</v>
      </c>
      <c r="Z32" s="356">
        <f>$E$32-Y32</f>
        <v>0</v>
      </c>
    </row>
    <row r="33" spans="1:26" x14ac:dyDescent="0.25">
      <c r="A33" s="440" t="s">
        <v>136</v>
      </c>
      <c r="B33" s="440"/>
      <c r="C33" s="440"/>
      <c r="D33" s="7">
        <v>0.2</v>
      </c>
      <c r="E33" s="217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355"/>
      <c r="U33" s="355"/>
      <c r="V33" s="217"/>
      <c r="W33" s="355"/>
      <c r="X33" s="355"/>
      <c r="Y33" s="355"/>
      <c r="Z33" s="355"/>
    </row>
    <row r="34" spans="1:26" x14ac:dyDescent="0.25">
      <c r="A34" s="8"/>
      <c r="B34" s="8" t="s">
        <v>134</v>
      </c>
      <c r="C34" s="8"/>
      <c r="D34" s="9">
        <v>0.13</v>
      </c>
      <c r="E34" s="217">
        <v>4940692.9279499995</v>
      </c>
      <c r="F34" s="355">
        <f>ROUND(F32*D34,0)</f>
        <v>4801357</v>
      </c>
      <c r="G34" s="355">
        <f>$E$34-F34</f>
        <v>139335.92794999946</v>
      </c>
      <c r="H34" s="355">
        <f>H32*D34</f>
        <v>4840398.9400000004</v>
      </c>
      <c r="I34" s="355">
        <f>$E$34-H34</f>
        <v>100293.98794999905</v>
      </c>
      <c r="J34" s="355">
        <f>J32*D34</f>
        <v>4842324.76</v>
      </c>
      <c r="K34" s="355">
        <f>$E$34-J34</f>
        <v>98368.167949999683</v>
      </c>
      <c r="L34" s="355">
        <f>L32*D34</f>
        <v>4765301.0600000005</v>
      </c>
      <c r="M34" s="355">
        <f>$E$34-L34</f>
        <v>175391.86794999894</v>
      </c>
      <c r="N34" s="355">
        <f>N32*D34</f>
        <v>4608528.34</v>
      </c>
      <c r="O34" s="355">
        <f>$E$34-N34</f>
        <v>332164.58794999961</v>
      </c>
      <c r="P34" s="355">
        <f>P32*D34</f>
        <v>4834470.68</v>
      </c>
      <c r="Q34" s="355">
        <f>$E$34-P34</f>
        <v>106222.24794999976</v>
      </c>
      <c r="R34" s="355">
        <f>R32*D34</f>
        <v>4850464.71</v>
      </c>
      <c r="S34" s="355">
        <f>$E$34-R34</f>
        <v>90228.217949999496</v>
      </c>
      <c r="T34" s="355">
        <f>T32*D34</f>
        <v>4822117.6900000004</v>
      </c>
      <c r="U34" s="355">
        <f>$E$34-T34</f>
        <v>118575.23794999905</v>
      </c>
      <c r="V34" s="217">
        <v>4940692.9279499995</v>
      </c>
      <c r="W34" s="355">
        <f>W32*D34</f>
        <v>4802847.2700000005</v>
      </c>
      <c r="X34" s="355">
        <f>$E$34-W34</f>
        <v>137845.65794999897</v>
      </c>
      <c r="Y34" s="355">
        <f>Y32*D34</f>
        <v>4940694.72</v>
      </c>
      <c r="Z34" s="355">
        <f>$E$34-Y34</f>
        <v>-1.7920500002801418</v>
      </c>
    </row>
    <row r="35" spans="1:26" x14ac:dyDescent="0.25">
      <c r="A35" s="8"/>
      <c r="B35" s="8" t="s">
        <v>132</v>
      </c>
      <c r="C35" s="8"/>
      <c r="D35" s="7">
        <v>0.02</v>
      </c>
      <c r="E35" s="217">
        <v>760106.60429999989</v>
      </c>
      <c r="F35" s="355">
        <f>ROUND(F32*D35,0)</f>
        <v>738670</v>
      </c>
      <c r="G35" s="355">
        <f>$E$35-F35</f>
        <v>21436.60429999989</v>
      </c>
      <c r="H35" s="355">
        <f>H32*D35</f>
        <v>744676.76</v>
      </c>
      <c r="I35" s="355">
        <f>$E$35-H35</f>
        <v>15429.844299999881</v>
      </c>
      <c r="J35" s="355">
        <f>J32*D35</f>
        <v>744973.04</v>
      </c>
      <c r="K35" s="355">
        <f>$E$35-J35</f>
        <v>15133.564299999853</v>
      </c>
      <c r="L35" s="355">
        <f>L32*D35</f>
        <v>733123.24</v>
      </c>
      <c r="M35" s="355">
        <f>$E$35-L35</f>
        <v>26983.364299999899</v>
      </c>
      <c r="N35" s="355">
        <f>N32*D35</f>
        <v>709004.36</v>
      </c>
      <c r="O35" s="355">
        <f>$E$35-N35</f>
        <v>51102.244299999904</v>
      </c>
      <c r="P35" s="355">
        <f>P32*D35</f>
        <v>743764.72</v>
      </c>
      <c r="Q35" s="355">
        <f>$E$35-P35</f>
        <v>16341.884299999918</v>
      </c>
      <c r="R35" s="355">
        <f>R32*D35</f>
        <v>746225.34</v>
      </c>
      <c r="S35" s="355">
        <f>$E$35-R35</f>
        <v>13881.264299999923</v>
      </c>
      <c r="T35" s="355">
        <f>T32*D35</f>
        <v>741864.26</v>
      </c>
      <c r="U35" s="355">
        <f>$E$35-T35</f>
        <v>18242.344299999881</v>
      </c>
      <c r="V35" s="217">
        <v>760106.60429999989</v>
      </c>
      <c r="W35" s="355">
        <f>W32*D35</f>
        <v>738899.58</v>
      </c>
      <c r="X35" s="355">
        <f>$E$35-W35</f>
        <v>21207.024299999932</v>
      </c>
      <c r="Y35" s="355">
        <f>Y32*D35</f>
        <v>760106.88</v>
      </c>
      <c r="Z35" s="355">
        <f>$E$35-Y35</f>
        <v>-0.27570000011473894</v>
      </c>
    </row>
    <row r="36" spans="1:26" x14ac:dyDescent="0.25">
      <c r="A36" s="8"/>
      <c r="B36" s="8" t="s">
        <v>133</v>
      </c>
      <c r="C36" s="8"/>
      <c r="D36" s="7">
        <v>0.05</v>
      </c>
      <c r="E36" s="217">
        <v>1900266.5107499999</v>
      </c>
      <c r="F36" s="355">
        <f>ROUND(F32*D36,0)</f>
        <v>1846676</v>
      </c>
      <c r="G36" s="355">
        <f>$E$36-F36</f>
        <v>53590.510749999899</v>
      </c>
      <c r="H36" s="355">
        <f>H32*D36</f>
        <v>1861691.9000000001</v>
      </c>
      <c r="I36" s="355">
        <f>$E$36-H36</f>
        <v>38574.61074999976</v>
      </c>
      <c r="J36" s="355">
        <f>J32*D36</f>
        <v>1862432.6</v>
      </c>
      <c r="K36" s="355">
        <f>$E$36-J36</f>
        <v>37833.910749999806</v>
      </c>
      <c r="L36" s="355">
        <f>L32*D36</f>
        <v>1832808.1</v>
      </c>
      <c r="M36" s="355">
        <f>$E$36-L36</f>
        <v>67458.410749999806</v>
      </c>
      <c r="N36" s="355">
        <f>N32*D36</f>
        <v>1772510.9000000001</v>
      </c>
      <c r="O36" s="355">
        <f>$E$36-N36</f>
        <v>127755.61074999976</v>
      </c>
      <c r="P36" s="355">
        <f>P32*D36</f>
        <v>1859411.8</v>
      </c>
      <c r="Q36" s="355">
        <f>$E$36-P36</f>
        <v>40854.710749999853</v>
      </c>
      <c r="R36" s="355">
        <f>R32*D36</f>
        <v>1865563.35</v>
      </c>
      <c r="S36" s="355">
        <f>$E$36-R36</f>
        <v>34703.160749999806</v>
      </c>
      <c r="T36" s="355">
        <f>T32*D36</f>
        <v>1854660.6500000001</v>
      </c>
      <c r="U36" s="355">
        <f>$E$36-T36</f>
        <v>45605.86074999976</v>
      </c>
      <c r="V36" s="217">
        <v>1900266.5107499999</v>
      </c>
      <c r="W36" s="355">
        <f>W32*D36</f>
        <v>1847248.9500000002</v>
      </c>
      <c r="X36" s="355">
        <f>$E$36-W36</f>
        <v>53017.560749999713</v>
      </c>
      <c r="Y36" s="355">
        <f>Y32*D36</f>
        <v>1900267.2000000002</v>
      </c>
      <c r="Z36" s="355">
        <f>$E$36-Y36</f>
        <v>-0.68925000028684735</v>
      </c>
    </row>
    <row r="37" spans="1:26" x14ac:dyDescent="0.25">
      <c r="A37" s="8"/>
      <c r="B37" s="8" t="s">
        <v>135</v>
      </c>
      <c r="C37" s="8"/>
      <c r="D37" s="7">
        <v>0.19</v>
      </c>
      <c r="E37" s="217">
        <v>361050.63704249996</v>
      </c>
      <c r="F37" s="355">
        <f>ROUND(F36*D37,0)</f>
        <v>350868</v>
      </c>
      <c r="G37" s="355">
        <f>$E$37-F37</f>
        <v>10182.637042499962</v>
      </c>
      <c r="H37" s="355">
        <f>H36*D37</f>
        <v>353721.46100000001</v>
      </c>
      <c r="I37" s="355">
        <f>$E$37-H37</f>
        <v>7329.176042499952</v>
      </c>
      <c r="J37" s="355">
        <f>J36*D37</f>
        <v>353862.19400000002</v>
      </c>
      <c r="K37" s="355">
        <f>$E$37-J37</f>
        <v>7188.4430424999446</v>
      </c>
      <c r="L37" s="355">
        <f>L36*D37</f>
        <v>348233.53900000005</v>
      </c>
      <c r="M37" s="355">
        <f>$E$37-L37</f>
        <v>12817.098042499914</v>
      </c>
      <c r="N37" s="355">
        <f>N36*D37</f>
        <v>336777.07100000005</v>
      </c>
      <c r="O37" s="355">
        <f>$E$37-N37</f>
        <v>24273.566042499908</v>
      </c>
      <c r="P37" s="355">
        <f>P36*D37</f>
        <v>353288.24200000003</v>
      </c>
      <c r="Q37" s="355">
        <f>$E$37-P37</f>
        <v>7762.3950424999348</v>
      </c>
      <c r="R37" s="355">
        <f>R36*D37</f>
        <v>354457.03650000005</v>
      </c>
      <c r="S37" s="355">
        <f>$E$37-R37</f>
        <v>6593.6005424999166</v>
      </c>
      <c r="T37" s="355">
        <f>T36*D37</f>
        <v>352385.52350000001</v>
      </c>
      <c r="U37" s="355">
        <f>$E$37-T37</f>
        <v>8665.113542499952</v>
      </c>
      <c r="V37" s="217">
        <v>361050.63704249996</v>
      </c>
      <c r="W37" s="355">
        <f>W36*D37</f>
        <v>350977.30050000001</v>
      </c>
      <c r="X37" s="355">
        <f>$E$37-W37</f>
        <v>10073.33654249995</v>
      </c>
      <c r="Y37" s="355">
        <f>Y36*D37</f>
        <v>361050.76800000004</v>
      </c>
      <c r="Z37" s="355">
        <f>$E$37-Y37</f>
        <v>-0.13095750007778406</v>
      </c>
    </row>
    <row r="38" spans="1:26" x14ac:dyDescent="0.25">
      <c r="A38" s="13"/>
      <c r="B38" s="439" t="s">
        <v>129</v>
      </c>
      <c r="C38" s="439"/>
      <c r="D38" s="439"/>
      <c r="E38" s="354">
        <f>SUM(E34:E37)</f>
        <v>7962116.6800424997</v>
      </c>
      <c r="F38" s="356">
        <f>SUM(F34:F37)</f>
        <v>7737571</v>
      </c>
      <c r="G38" s="356">
        <f>$E$38-F38</f>
        <v>224545.68004249968</v>
      </c>
      <c r="H38" s="362">
        <f>SUM(H34:H37)</f>
        <v>7800489.0610000007</v>
      </c>
      <c r="I38" s="356">
        <f>$E$38-H38</f>
        <v>161627.61904249899</v>
      </c>
      <c r="J38" s="362">
        <f>SUM(J34:J37)</f>
        <v>7803592.5940000005</v>
      </c>
      <c r="K38" s="356">
        <f>$E$38-J38</f>
        <v>158524.08604249917</v>
      </c>
      <c r="L38" s="356">
        <f>SUM(L34:L37)</f>
        <v>7679465.9390000002</v>
      </c>
      <c r="M38" s="356">
        <f>$E$38-L38</f>
        <v>282650.74104249943</v>
      </c>
      <c r="N38" s="362">
        <f>SUM(N34:N37)</f>
        <v>7426820.671000001</v>
      </c>
      <c r="O38" s="356">
        <f>$E$38-N38</f>
        <v>535296.00904249866</v>
      </c>
      <c r="P38" s="356">
        <f>SUM(P34:P37)</f>
        <v>7790935.4419999989</v>
      </c>
      <c r="Q38" s="356">
        <f>$E$38-P38</f>
        <v>171181.2380425008</v>
      </c>
      <c r="R38" s="362">
        <f>SUM(R34:R37)</f>
        <v>7816710.4365000008</v>
      </c>
      <c r="S38" s="356">
        <f>$E$38-R38</f>
        <v>145406.24354249891</v>
      </c>
      <c r="T38" s="362">
        <f>SUM(T34:T37)</f>
        <v>7771028.1235000007</v>
      </c>
      <c r="U38" s="356">
        <f>$E$38-T38</f>
        <v>191088.55654249899</v>
      </c>
      <c r="V38" s="354">
        <f>SUM(V34:V37)</f>
        <v>7962116.6800424997</v>
      </c>
      <c r="W38" s="362">
        <f>SUM(W34:W37)</f>
        <v>7739973.1005000006</v>
      </c>
      <c r="X38" s="356">
        <f>$E$38-W38</f>
        <v>222143.57954249904</v>
      </c>
      <c r="Y38" s="362">
        <f>SUM(Y34:Y37)</f>
        <v>7962119.568</v>
      </c>
      <c r="Z38" s="356">
        <f>$E$38-Y38</f>
        <v>-2.8879575002938509</v>
      </c>
    </row>
    <row r="39" spans="1:26" ht="16.5" x14ac:dyDescent="0.25">
      <c r="A39" s="441" t="s">
        <v>130</v>
      </c>
      <c r="B39" s="441"/>
      <c r="C39" s="441"/>
      <c r="D39" s="441"/>
      <c r="E39" s="18">
        <f>E32+E38</f>
        <v>45967460.680042498</v>
      </c>
      <c r="F39" s="357">
        <f>F32+F38</f>
        <v>44671087</v>
      </c>
      <c r="G39" s="357">
        <f>$E$39-F39</f>
        <v>1296373.6800424978</v>
      </c>
      <c r="H39" s="361">
        <f>H32+H38</f>
        <v>45034327.061000004</v>
      </c>
      <c r="I39" s="357">
        <f>$E$39-H39</f>
        <v>933133.6190424934</v>
      </c>
      <c r="J39" s="361">
        <f>J32+J38</f>
        <v>45052244.593999997</v>
      </c>
      <c r="K39" s="357">
        <f>$E$39-J39</f>
        <v>915216.08604250103</v>
      </c>
      <c r="L39" s="361">
        <f>L32+L38</f>
        <v>44335627.939000003</v>
      </c>
      <c r="M39" s="357">
        <f>$E$39-L39</f>
        <v>1631832.7410424948</v>
      </c>
      <c r="N39" s="361">
        <f>N32+N38</f>
        <v>42877038.671000004</v>
      </c>
      <c r="O39" s="357">
        <f>$E$39-N39</f>
        <v>3090422.009042494</v>
      </c>
      <c r="P39" s="361">
        <f>P32+P38</f>
        <v>44979171.442000002</v>
      </c>
      <c r="Q39" s="357">
        <f>$E$39-P39</f>
        <v>988289.23804249614</v>
      </c>
      <c r="R39" s="361">
        <f>R32+R38</f>
        <v>45127977.436499998</v>
      </c>
      <c r="S39" s="357">
        <f>$E$39-R39</f>
        <v>839483.24354249984</v>
      </c>
      <c r="T39" s="361">
        <f>T32+T38</f>
        <v>44864241.123500004</v>
      </c>
      <c r="U39" s="357">
        <f>$E$39-T39</f>
        <v>1103219.5565424934</v>
      </c>
      <c r="V39" s="18">
        <f>V32+V38</f>
        <v>45967460.680042498</v>
      </c>
      <c r="W39" s="361">
        <f>W32+W38</f>
        <v>44684952.100500003</v>
      </c>
      <c r="X39" s="357">
        <f>$E$39-W39</f>
        <v>1282508.5795424953</v>
      </c>
      <c r="Y39" s="361">
        <f>Y32+Y38</f>
        <v>45967463.568000004</v>
      </c>
      <c r="Z39" s="357">
        <f>$E$39-Y39</f>
        <v>-2.8879575058817863</v>
      </c>
    </row>
  </sheetData>
  <mergeCells count="8">
    <mergeCell ref="B38:D38"/>
    <mergeCell ref="A39:D39"/>
    <mergeCell ref="A9:D9"/>
    <mergeCell ref="A10:C10"/>
    <mergeCell ref="B15:D15"/>
    <mergeCell ref="A16:D16"/>
    <mergeCell ref="A32:D32"/>
    <mergeCell ref="A33:C33"/>
  </mergeCells>
  <pageMargins left="0.7" right="0.7" top="0.75" bottom="0.75" header="0.3" footer="0.3"/>
  <pageSetup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5AA46-ECC0-47F8-99A1-5447DD607707}">
  <dimension ref="A1:Z39"/>
  <sheetViews>
    <sheetView zoomScale="130" zoomScaleNormal="130" workbookViewId="0">
      <pane xSplit="5" ySplit="1" topLeftCell="Q27" activePane="bottomRight" state="frozen"/>
      <selection pane="topRight" activeCell="F1" sqref="F1"/>
      <selection pane="bottomLeft" activeCell="A2" sqref="A2"/>
      <selection pane="bottomRight" activeCell="Y39" sqref="Y39"/>
    </sheetView>
  </sheetViews>
  <sheetFormatPr baseColWidth="10" defaultRowHeight="15" x14ac:dyDescent="0.25"/>
  <cols>
    <col min="1" max="1" width="4.42578125" style="2" bestFit="1" customWidth="1"/>
    <col min="2" max="2" width="30.85546875" style="10" customWidth="1"/>
    <col min="3" max="3" width="6.140625" style="2" bestFit="1" customWidth="1"/>
    <col min="4" max="4" width="6.42578125" style="2" bestFit="1" customWidth="1"/>
    <col min="5" max="5" width="12.7109375" style="15" bestFit="1" customWidth="1"/>
    <col min="6" max="6" width="12.28515625" style="2" customWidth="1"/>
    <col min="7" max="7" width="10.7109375" style="19" customWidth="1"/>
    <col min="8" max="8" width="14.28515625" style="2" customWidth="1"/>
    <col min="9" max="9" width="10.7109375" style="19" customWidth="1"/>
    <col min="10" max="10" width="12.28515625" style="2" customWidth="1"/>
    <col min="11" max="11" width="10.7109375" style="19" customWidth="1"/>
    <col min="12" max="12" width="12.28515625" style="2" customWidth="1"/>
    <col min="13" max="13" width="10.7109375" style="19" customWidth="1"/>
    <col min="14" max="14" width="12.28515625" style="2" customWidth="1"/>
    <col min="15" max="15" width="10.7109375" style="19" customWidth="1"/>
    <col min="16" max="16" width="12.28515625" style="2" customWidth="1"/>
    <col min="17" max="17" width="10.7109375" style="19" customWidth="1"/>
    <col min="18" max="18" width="12.28515625" style="2" customWidth="1"/>
    <col min="19" max="19" width="10.7109375" style="19" customWidth="1"/>
    <col min="20" max="20" width="12.28515625" style="2" customWidth="1"/>
    <col min="21" max="21" width="10.7109375" style="19" customWidth="1"/>
    <col min="22" max="22" width="12.7109375" style="15" bestFit="1" customWidth="1"/>
    <col min="23" max="23" width="12.28515625" style="2" customWidth="1"/>
    <col min="24" max="24" width="10.7109375" style="19" customWidth="1"/>
    <col min="25" max="25" width="12.28515625" style="2" customWidth="1"/>
    <col min="26" max="26" width="10.7109375" style="19" customWidth="1"/>
  </cols>
  <sheetData>
    <row r="1" spans="1:26" ht="67.5" x14ac:dyDescent="0.25">
      <c r="A1" s="11" t="s">
        <v>127</v>
      </c>
      <c r="B1" s="12" t="s">
        <v>7</v>
      </c>
      <c r="C1" s="12" t="s">
        <v>4</v>
      </c>
      <c r="D1" s="12" t="s">
        <v>138</v>
      </c>
      <c r="E1" s="14" t="s">
        <v>137</v>
      </c>
      <c r="F1" s="12" t="s">
        <v>449</v>
      </c>
      <c r="G1" s="12" t="s">
        <v>271</v>
      </c>
      <c r="H1" s="12" t="s">
        <v>450</v>
      </c>
      <c r="I1" s="12" t="s">
        <v>271</v>
      </c>
      <c r="J1" s="12" t="s">
        <v>451</v>
      </c>
      <c r="K1" s="12" t="s">
        <v>271</v>
      </c>
      <c r="L1" s="12" t="s">
        <v>452</v>
      </c>
      <c r="M1" s="12" t="s">
        <v>271</v>
      </c>
      <c r="N1" s="12" t="s">
        <v>453</v>
      </c>
      <c r="O1" s="12" t="s">
        <v>271</v>
      </c>
      <c r="P1" s="12" t="s">
        <v>454</v>
      </c>
      <c r="Q1" s="12" t="s">
        <v>271</v>
      </c>
      <c r="R1" s="12" t="s">
        <v>455</v>
      </c>
      <c r="S1" s="12" t="s">
        <v>271</v>
      </c>
      <c r="T1" s="12" t="s">
        <v>456</v>
      </c>
      <c r="U1" s="12" t="s">
        <v>271</v>
      </c>
      <c r="V1" s="14" t="s">
        <v>137</v>
      </c>
      <c r="W1" s="12" t="s">
        <v>457</v>
      </c>
      <c r="X1" s="12" t="s">
        <v>271</v>
      </c>
      <c r="Y1" s="12" t="s">
        <v>458</v>
      </c>
      <c r="Z1" s="12" t="s">
        <v>271</v>
      </c>
    </row>
    <row r="2" spans="1:26" ht="27" x14ac:dyDescent="0.25">
      <c r="A2" s="216">
        <v>1</v>
      </c>
      <c r="B2" s="5" t="s">
        <v>292</v>
      </c>
      <c r="C2" s="6" t="s">
        <v>4</v>
      </c>
      <c r="D2" s="3">
        <v>1</v>
      </c>
      <c r="E2" s="217">
        <v>4568383</v>
      </c>
      <c r="F2" s="355">
        <v>4431329</v>
      </c>
      <c r="G2" s="355">
        <f>$E$2-F2</f>
        <v>137054</v>
      </c>
      <c r="H2" s="355">
        <v>4433619.2</v>
      </c>
      <c r="I2" s="355">
        <f>$E$2-H2</f>
        <v>134763.79999999981</v>
      </c>
      <c r="J2" s="355">
        <v>4431334</v>
      </c>
      <c r="K2" s="355">
        <f>$E$2-J2</f>
        <v>137049</v>
      </c>
      <c r="L2" s="355">
        <v>4435280</v>
      </c>
      <c r="M2" s="355">
        <f>$E$2-L2</f>
        <v>133103</v>
      </c>
      <c r="N2" s="355">
        <v>4375092</v>
      </c>
      <c r="O2" s="355">
        <f>$E$2-N2</f>
        <v>193291</v>
      </c>
      <c r="P2" s="355">
        <v>4454171</v>
      </c>
      <c r="Q2" s="355">
        <f>$E$2-P2</f>
        <v>114212</v>
      </c>
      <c r="R2" s="355">
        <v>4435900</v>
      </c>
      <c r="S2" s="355">
        <f>$E$2-R2</f>
        <v>132483</v>
      </c>
      <c r="T2" s="355">
        <v>3876461</v>
      </c>
      <c r="U2" s="355">
        <f>$E$2-T2</f>
        <v>691922</v>
      </c>
      <c r="V2" s="217">
        <v>4568383</v>
      </c>
      <c r="W2" s="355">
        <v>4480670.4000000004</v>
      </c>
      <c r="X2" s="355">
        <f>$E$2-W2</f>
        <v>87712.599999999627</v>
      </c>
      <c r="Y2" s="355">
        <v>4441377</v>
      </c>
      <c r="Z2" s="355">
        <f>$E$2-Y2</f>
        <v>127006</v>
      </c>
    </row>
    <row r="3" spans="1:26" x14ac:dyDescent="0.25">
      <c r="A3" s="216">
        <v>2</v>
      </c>
      <c r="B3" s="5" t="s">
        <v>299</v>
      </c>
      <c r="C3" s="6" t="s">
        <v>4</v>
      </c>
      <c r="D3" s="3">
        <v>1</v>
      </c>
      <c r="E3" s="217">
        <v>26508156.666666668</v>
      </c>
      <c r="F3" s="355">
        <v>25712880</v>
      </c>
      <c r="G3" s="355">
        <f>$E$3-F3</f>
        <v>795276.66666666791</v>
      </c>
      <c r="H3" s="355">
        <v>25726220</v>
      </c>
      <c r="I3" s="355">
        <f>$E$3-H3</f>
        <v>781936.66666666791</v>
      </c>
      <c r="J3" s="355">
        <v>25713010</v>
      </c>
      <c r="K3" s="355">
        <f>$E$3-J3</f>
        <v>795146.66666666791</v>
      </c>
      <c r="L3" s="355">
        <v>25723000</v>
      </c>
      <c r="M3" s="355">
        <f>$E$3-L3</f>
        <v>785156.66666666791</v>
      </c>
      <c r="N3" s="355">
        <v>25386490</v>
      </c>
      <c r="O3" s="355">
        <f>$E$3-N3</f>
        <v>1121666.6666666679</v>
      </c>
      <c r="P3" s="355">
        <v>25845510</v>
      </c>
      <c r="Q3" s="355">
        <f>$E$3-P3</f>
        <v>662646.66666666791</v>
      </c>
      <c r="R3" s="355">
        <v>25739430</v>
      </c>
      <c r="S3" s="355">
        <f>$E$3-R3</f>
        <v>768726.66666666791</v>
      </c>
      <c r="T3" s="355">
        <v>19945720</v>
      </c>
      <c r="U3" s="355">
        <f>$E$3-T3</f>
        <v>6562436.6666666679</v>
      </c>
      <c r="V3" s="217">
        <v>26508156.666666668</v>
      </c>
      <c r="W3" s="355">
        <v>25999250</v>
      </c>
      <c r="X3" s="355">
        <f>$E$3-W3</f>
        <v>508906.66666666791</v>
      </c>
      <c r="Y3" s="355">
        <v>25765920</v>
      </c>
      <c r="Z3" s="355">
        <f>$E$3-Y3</f>
        <v>742236.66666666791</v>
      </c>
    </row>
    <row r="4" spans="1:26" x14ac:dyDescent="0.25">
      <c r="A4" s="216">
        <v>3</v>
      </c>
      <c r="B4" s="4" t="s">
        <v>308</v>
      </c>
      <c r="C4" s="6" t="s">
        <v>4</v>
      </c>
      <c r="D4" s="3">
        <v>1</v>
      </c>
      <c r="E4" s="217">
        <v>18398710.550000001</v>
      </c>
      <c r="F4" s="355">
        <v>17846634</v>
      </c>
      <c r="G4" s="355">
        <f>$E$4-F4</f>
        <v>552076.55000000075</v>
      </c>
      <c r="H4" s="355">
        <v>17856163.25</v>
      </c>
      <c r="I4" s="355">
        <f>$E$4-H4</f>
        <v>542547.30000000075</v>
      </c>
      <c r="J4" s="355">
        <v>17846634</v>
      </c>
      <c r="K4" s="355">
        <f>$E$4-J4</f>
        <v>552076.55000000075</v>
      </c>
      <c r="L4" s="355">
        <v>17821471</v>
      </c>
      <c r="M4" s="355">
        <f>$E$4-L4</f>
        <v>577239.55000000075</v>
      </c>
      <c r="N4" s="355">
        <v>17620107</v>
      </c>
      <c r="O4" s="355">
        <f>$E$4-N4</f>
        <v>778603.55000000075</v>
      </c>
      <c r="P4" s="355">
        <v>17938779</v>
      </c>
      <c r="Q4" s="355">
        <f>$E$4-P4</f>
        <v>459931.55000000075</v>
      </c>
      <c r="R4" s="355">
        <v>17865029</v>
      </c>
      <c r="S4" s="355">
        <f>$E$4-R4</f>
        <v>533681.55000000075</v>
      </c>
      <c r="T4" s="355">
        <v>13252250</v>
      </c>
      <c r="U4" s="355">
        <f>$E$4-T4</f>
        <v>5146460.5500000007</v>
      </c>
      <c r="V4" s="217">
        <v>18398710.550000001</v>
      </c>
      <c r="W4" s="355">
        <v>18045235.670000002</v>
      </c>
      <c r="X4" s="355">
        <f>$E$4-W4</f>
        <v>353474.87999999896</v>
      </c>
      <c r="Y4" s="355">
        <v>17883773.66</v>
      </c>
      <c r="Z4" s="355">
        <f>$E$4-Y4</f>
        <v>514936.8900000006</v>
      </c>
    </row>
    <row r="5" spans="1:26" x14ac:dyDescent="0.25">
      <c r="A5" s="216">
        <v>4</v>
      </c>
      <c r="B5" s="4" t="s">
        <v>314</v>
      </c>
      <c r="C5" s="6" t="s">
        <v>4</v>
      </c>
      <c r="D5" s="3">
        <v>1</v>
      </c>
      <c r="E5" s="217">
        <v>9464086.666666666</v>
      </c>
      <c r="F5" s="355">
        <v>9180080</v>
      </c>
      <c r="G5" s="355">
        <f>$E$5-F5</f>
        <v>284006.66666666605</v>
      </c>
      <c r="H5" s="355">
        <v>9184890</v>
      </c>
      <c r="I5" s="355">
        <f>$E$5-H5</f>
        <v>279196.66666666605</v>
      </c>
      <c r="J5" s="355">
        <v>9180080</v>
      </c>
      <c r="K5" s="355">
        <f>$E$5-J5</f>
        <v>284006.66666666605</v>
      </c>
      <c r="L5" s="355">
        <v>9178000</v>
      </c>
      <c r="M5" s="355">
        <f>$E$5-L5</f>
        <v>286086.66666666605</v>
      </c>
      <c r="N5" s="355">
        <v>9063600</v>
      </c>
      <c r="O5" s="355">
        <f>$E$5-N5</f>
        <v>400486.66666666605</v>
      </c>
      <c r="P5" s="355">
        <v>9227530</v>
      </c>
      <c r="Q5" s="355">
        <f>$E$5-P5</f>
        <v>236556.66666666605</v>
      </c>
      <c r="R5" s="355">
        <v>9189700</v>
      </c>
      <c r="S5" s="355">
        <f>$E$5-R5</f>
        <v>274386.66666666605</v>
      </c>
      <c r="T5" s="355">
        <v>6500000</v>
      </c>
      <c r="U5" s="355">
        <f>$E$5-T5</f>
        <v>2964086.666666666</v>
      </c>
      <c r="V5" s="217">
        <v>9464086.666666666</v>
      </c>
      <c r="W5" s="355">
        <v>9282390</v>
      </c>
      <c r="X5" s="355">
        <f>$E$5-W5</f>
        <v>181696.66666666605</v>
      </c>
      <c r="Y5" s="355">
        <v>9199060</v>
      </c>
      <c r="Z5" s="355">
        <f>$E$5-Y5</f>
        <v>265026.66666666605</v>
      </c>
    </row>
    <row r="6" spans="1:26" ht="27" x14ac:dyDescent="0.25">
      <c r="A6" s="216">
        <v>5</v>
      </c>
      <c r="B6" s="4" t="s">
        <v>323</v>
      </c>
      <c r="C6" s="6" t="s">
        <v>4</v>
      </c>
      <c r="D6" s="3">
        <v>1</v>
      </c>
      <c r="E6" s="217">
        <v>46259409</v>
      </c>
      <c r="F6" s="355">
        <v>44871619</v>
      </c>
      <c r="G6" s="355">
        <f>$E$6-F6</f>
        <v>1387790</v>
      </c>
      <c r="H6" s="355">
        <v>44894760.230000004</v>
      </c>
      <c r="I6" s="355">
        <f>$E$6-H6</f>
        <v>1364648.7699999958</v>
      </c>
      <c r="J6" s="355">
        <v>44871664</v>
      </c>
      <c r="K6" s="355">
        <f>$E$6-J6</f>
        <v>1387745</v>
      </c>
      <c r="L6" s="355">
        <v>44916208</v>
      </c>
      <c r="M6" s="355">
        <f>$E$6-L6</f>
        <v>1343201</v>
      </c>
      <c r="N6" s="355">
        <v>44025170</v>
      </c>
      <c r="O6" s="355">
        <f>$E$6-N6</f>
        <v>2234239</v>
      </c>
      <c r="P6" s="355">
        <v>45102912</v>
      </c>
      <c r="Q6" s="355">
        <f>$E$6-P6</f>
        <v>1156497</v>
      </c>
      <c r="R6" s="355">
        <v>44917901</v>
      </c>
      <c r="S6" s="355">
        <f>$E$6-R6</f>
        <v>1341508</v>
      </c>
      <c r="T6" s="355">
        <v>44636000</v>
      </c>
      <c r="U6" s="355">
        <f>$E$6-T6</f>
        <v>1623409</v>
      </c>
      <c r="V6" s="217">
        <v>46259409</v>
      </c>
      <c r="W6" s="355">
        <v>45371247.890000001</v>
      </c>
      <c r="X6" s="355">
        <f>$E$6-W6</f>
        <v>888161.1099999994</v>
      </c>
      <c r="Y6" s="355">
        <v>44964177.159999996</v>
      </c>
      <c r="Z6" s="355">
        <f>$E$6-Y6</f>
        <v>1295231.8400000036</v>
      </c>
    </row>
    <row r="7" spans="1:26" x14ac:dyDescent="0.25">
      <c r="A7" s="216">
        <v>6</v>
      </c>
      <c r="B7" s="5" t="s">
        <v>328</v>
      </c>
      <c r="C7" s="6" t="s">
        <v>4</v>
      </c>
      <c r="D7" s="3">
        <v>1</v>
      </c>
      <c r="E7" s="217">
        <v>69497761.733333334</v>
      </c>
      <c r="F7" s="355">
        <v>67412846</v>
      </c>
      <c r="G7" s="355">
        <f>$E$7-F7</f>
        <v>2084915.7333333343</v>
      </c>
      <c r="H7" s="355">
        <v>67447590.799999997</v>
      </c>
      <c r="I7" s="355">
        <f>$E$7-H7</f>
        <v>2050170.9333333373</v>
      </c>
      <c r="J7" s="355">
        <v>67412846</v>
      </c>
      <c r="K7" s="355">
        <f>$E$7-J7</f>
        <v>2084915.7333333343</v>
      </c>
      <c r="L7" s="355">
        <v>67477550</v>
      </c>
      <c r="M7" s="355">
        <f>$E$7-L7</f>
        <v>2020211.7333333343</v>
      </c>
      <c r="N7" s="355">
        <v>66557276</v>
      </c>
      <c r="O7" s="355">
        <f>$E$7-N7</f>
        <v>2940485.7333333343</v>
      </c>
      <c r="P7" s="355">
        <v>67760290</v>
      </c>
      <c r="Q7" s="355">
        <f>$E$7-P7</f>
        <v>1737471.7333333343</v>
      </c>
      <c r="R7" s="355">
        <v>67482335</v>
      </c>
      <c r="S7" s="355">
        <f>$E$7-R7</f>
        <v>2015426.7333333343</v>
      </c>
      <c r="T7" s="355">
        <v>48544999.999999993</v>
      </c>
      <c r="U7" s="355">
        <f>$E$7-T7</f>
        <v>20952761.733333342</v>
      </c>
      <c r="V7" s="217">
        <v>69497761.733333334</v>
      </c>
      <c r="W7" s="355">
        <v>68163421.5</v>
      </c>
      <c r="X7" s="355">
        <f>$E$7-W7</f>
        <v>1334340.2333333343</v>
      </c>
      <c r="Y7" s="355">
        <v>67551823.849999994</v>
      </c>
      <c r="Z7" s="355">
        <f>$E$7-Y7</f>
        <v>1945937.8833333403</v>
      </c>
    </row>
    <row r="8" spans="1:26" ht="27" x14ac:dyDescent="0.25">
      <c r="A8" s="216">
        <v>7</v>
      </c>
      <c r="B8" s="5" t="s">
        <v>333</v>
      </c>
      <c r="C8" s="6" t="s">
        <v>4</v>
      </c>
      <c r="D8" s="3">
        <v>1</v>
      </c>
      <c r="E8" s="217">
        <v>2370133.3333333335</v>
      </c>
      <c r="F8" s="355">
        <v>2299200</v>
      </c>
      <c r="G8" s="355">
        <f>$E$8-F8</f>
        <v>70933.333333333489</v>
      </c>
      <c r="H8" s="355">
        <v>2300400</v>
      </c>
      <c r="I8" s="355">
        <f>$E$8-H8</f>
        <v>69733.333333333489</v>
      </c>
      <c r="J8" s="355">
        <v>2298800</v>
      </c>
      <c r="K8" s="355">
        <f>$E$8-J8</f>
        <v>71333.333333333489</v>
      </c>
      <c r="L8" s="355">
        <v>2280000</v>
      </c>
      <c r="M8" s="355">
        <f>$E$8-L8</f>
        <v>90133.333333333489</v>
      </c>
      <c r="N8" s="355">
        <v>2269600</v>
      </c>
      <c r="O8" s="355">
        <f>$E$8-N8</f>
        <v>100533.33333333349</v>
      </c>
      <c r="P8" s="355">
        <v>2310800</v>
      </c>
      <c r="Q8" s="355">
        <f>$E$8-P8</f>
        <v>59333.333333333489</v>
      </c>
      <c r="R8" s="355">
        <v>2301200</v>
      </c>
      <c r="S8" s="355">
        <f>$E$8-R8</f>
        <v>68933.333333333489</v>
      </c>
      <c r="T8" s="355">
        <v>1200000</v>
      </c>
      <c r="U8" s="355">
        <f>$E$8-T8</f>
        <v>1170133.3333333335</v>
      </c>
      <c r="V8" s="217">
        <v>2370133.3333333335</v>
      </c>
      <c r="W8" s="355">
        <v>2324800</v>
      </c>
      <c r="X8" s="355">
        <f>$E$8-W8</f>
        <v>45333.333333333489</v>
      </c>
      <c r="Y8" s="355">
        <v>2303600</v>
      </c>
      <c r="Z8" s="355">
        <f>$E$8-Y8</f>
        <v>66533.333333333489</v>
      </c>
    </row>
    <row r="9" spans="1:26" s="16" customFormat="1" x14ac:dyDescent="0.25">
      <c r="A9" s="439" t="s">
        <v>128</v>
      </c>
      <c r="B9" s="439"/>
      <c r="C9" s="439"/>
      <c r="D9" s="439"/>
      <c r="E9" s="354">
        <f>SUM(E2:E8)</f>
        <v>177066640.95000002</v>
      </c>
      <c r="F9" s="356">
        <f>SUM(F2:F8)</f>
        <v>171754588</v>
      </c>
      <c r="G9" s="356">
        <f>$E$9-F9</f>
        <v>5312052.9500000179</v>
      </c>
      <c r="H9" s="356">
        <f>SUM(H2:H8)</f>
        <v>171843643.48000002</v>
      </c>
      <c r="I9" s="356">
        <f>$E$9-H9</f>
        <v>5222997.4699999988</v>
      </c>
      <c r="J9" s="362">
        <f>SUM(J2:J8)</f>
        <v>171754368</v>
      </c>
      <c r="K9" s="356">
        <f>$E$9-J9</f>
        <v>5312272.9500000179</v>
      </c>
      <c r="L9" s="356">
        <f>SUM(L2:L8)</f>
        <v>171831509</v>
      </c>
      <c r="M9" s="356">
        <f>$E$9-L9</f>
        <v>5235131.9500000179</v>
      </c>
      <c r="N9" s="356">
        <f>SUM(N2:N8)</f>
        <v>169297335</v>
      </c>
      <c r="O9" s="356">
        <f>$E$9-N9</f>
        <v>7769305.9500000179</v>
      </c>
      <c r="P9" s="356">
        <f>SUM(P2:P8)</f>
        <v>172639992</v>
      </c>
      <c r="Q9" s="356">
        <f>$E$9-P9</f>
        <v>4426648.9500000179</v>
      </c>
      <c r="R9" s="356">
        <f>SUM(R2:R8)</f>
        <v>171931495</v>
      </c>
      <c r="S9" s="356">
        <f>$E$9-R9</f>
        <v>5135145.9500000179</v>
      </c>
      <c r="T9" s="356">
        <f>SUM(T2:T8)</f>
        <v>137955431</v>
      </c>
      <c r="U9" s="356">
        <f>$E$9-T9</f>
        <v>39111209.950000018</v>
      </c>
      <c r="V9" s="354">
        <f>SUM(V2:V8)</f>
        <v>177066640.95000002</v>
      </c>
      <c r="W9" s="356">
        <f>SUM(W2:W8)</f>
        <v>173667015.46000001</v>
      </c>
      <c r="X9" s="356">
        <f>$E$9-W9</f>
        <v>3399625.4900000095</v>
      </c>
      <c r="Y9" s="356">
        <f>SUM(Y2:Y8)</f>
        <v>172109731.66999999</v>
      </c>
      <c r="Z9" s="356">
        <f>$E$9-Y9</f>
        <v>4956909.280000031</v>
      </c>
    </row>
    <row r="10" spans="1:26" x14ac:dyDescent="0.25">
      <c r="A10" s="440" t="s">
        <v>136</v>
      </c>
      <c r="B10" s="440"/>
      <c r="C10" s="440"/>
      <c r="D10" s="7">
        <v>0.2</v>
      </c>
      <c r="E10" s="217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217"/>
      <c r="W10" s="355"/>
      <c r="X10" s="355"/>
      <c r="Y10" s="355"/>
      <c r="Z10" s="355"/>
    </row>
    <row r="11" spans="1:26" x14ac:dyDescent="0.25">
      <c r="A11" s="8"/>
      <c r="B11" s="8" t="s">
        <v>134</v>
      </c>
      <c r="C11" s="8"/>
      <c r="D11" s="9">
        <v>0.13</v>
      </c>
      <c r="E11" s="217">
        <v>23018663.323500004</v>
      </c>
      <c r="F11" s="355">
        <f>(F9*D11)</f>
        <v>22328096.440000001</v>
      </c>
      <c r="G11" s="355">
        <f>$E$11-F11</f>
        <v>690566.88350000232</v>
      </c>
      <c r="H11" s="355">
        <f>H9*$D$11</f>
        <v>22339673.652400002</v>
      </c>
      <c r="I11" s="355">
        <f>$E$11-H11</f>
        <v>678989.67110000178</v>
      </c>
      <c r="J11" s="355">
        <f>J9*D11</f>
        <v>22328067.84</v>
      </c>
      <c r="K11" s="355">
        <f>$E$11-J11</f>
        <v>690595.48350000381</v>
      </c>
      <c r="L11" s="355">
        <f>L9*D11</f>
        <v>22338096.170000002</v>
      </c>
      <c r="M11" s="355">
        <f>$E$11-L11</f>
        <v>680567.15350000188</v>
      </c>
      <c r="N11" s="355">
        <f>N9*D11</f>
        <v>22008653.550000001</v>
      </c>
      <c r="O11" s="355">
        <f>$E$11-N11</f>
        <v>1010009.7735000029</v>
      </c>
      <c r="P11" s="355">
        <f>P9*D11</f>
        <v>22443198.960000001</v>
      </c>
      <c r="Q11" s="355">
        <f>$E$11-P11</f>
        <v>575464.36350000277</v>
      </c>
      <c r="R11" s="355">
        <f>R9*D11</f>
        <v>22351094.350000001</v>
      </c>
      <c r="S11" s="355">
        <f>$E$11-R11</f>
        <v>667568.97350000218</v>
      </c>
      <c r="T11" s="355">
        <f>T9*D11</f>
        <v>17934206.030000001</v>
      </c>
      <c r="U11" s="355">
        <f>$E$11-T11</f>
        <v>5084457.2935000025</v>
      </c>
      <c r="V11" s="217">
        <v>23018663.323500004</v>
      </c>
      <c r="W11" s="355">
        <f>W9*D11</f>
        <v>22576712.009800002</v>
      </c>
      <c r="X11" s="355">
        <f>$E$11-W11</f>
        <v>441951.31370000169</v>
      </c>
      <c r="Y11" s="355">
        <f>Y9*16.5%</f>
        <v>28398105.72555</v>
      </c>
      <c r="Z11" s="355">
        <f>$E$11-Y11</f>
        <v>-5379442.402049996</v>
      </c>
    </row>
    <row r="12" spans="1:26" x14ac:dyDescent="0.25">
      <c r="A12" s="8"/>
      <c r="B12" s="8" t="s">
        <v>132</v>
      </c>
      <c r="C12" s="8"/>
      <c r="D12" s="7">
        <v>0.02</v>
      </c>
      <c r="E12" s="217">
        <v>3541332.8190000006</v>
      </c>
      <c r="F12" s="355">
        <f>F9*D12</f>
        <v>3435091.7600000002</v>
      </c>
      <c r="G12" s="355">
        <f>$E$12-F12</f>
        <v>106241.05900000036</v>
      </c>
      <c r="H12" s="355">
        <f>H9*$D$12</f>
        <v>3436872.8696000003</v>
      </c>
      <c r="I12" s="355">
        <f>$E$12-H12</f>
        <v>104459.94940000027</v>
      </c>
      <c r="J12" s="355">
        <f>J9*D12</f>
        <v>3435087.36</v>
      </c>
      <c r="K12" s="355">
        <f>$E$12-J12</f>
        <v>106245.45900000073</v>
      </c>
      <c r="L12" s="355">
        <f>L9*D12</f>
        <v>3436630.18</v>
      </c>
      <c r="M12" s="355">
        <f>$E$12-L12</f>
        <v>104702.63900000043</v>
      </c>
      <c r="N12" s="355">
        <f>N9*D12</f>
        <v>3385946.7</v>
      </c>
      <c r="O12" s="355">
        <f>$E$12-N12</f>
        <v>155386.11900000041</v>
      </c>
      <c r="P12" s="355">
        <f>P9*D12</f>
        <v>3452799.84</v>
      </c>
      <c r="Q12" s="355">
        <f>$E$12-P12</f>
        <v>88532.979000000749</v>
      </c>
      <c r="R12" s="355">
        <f>R9*D12</f>
        <v>3438629.9</v>
      </c>
      <c r="S12" s="355">
        <f>$E$12-R12</f>
        <v>102702.91900000069</v>
      </c>
      <c r="T12" s="355">
        <f>T9*D12</f>
        <v>2759108.62</v>
      </c>
      <c r="U12" s="355">
        <f>$E$12-T12</f>
        <v>782224.19900000049</v>
      </c>
      <c r="V12" s="217">
        <v>3541332.8190000006</v>
      </c>
      <c r="W12" s="355">
        <f>W9*D12</f>
        <v>3473340.3092</v>
      </c>
      <c r="X12" s="355">
        <f>$E$12-W12</f>
        <v>67992.509800000582</v>
      </c>
      <c r="Y12" s="355">
        <f>Y9*0.01%</f>
        <v>17210.973167</v>
      </c>
      <c r="Z12" s="355">
        <f>$E$12-Y12</f>
        <v>3524121.8458330007</v>
      </c>
    </row>
    <row r="13" spans="1:26" x14ac:dyDescent="0.25">
      <c r="A13" s="8"/>
      <c r="B13" s="8" t="s">
        <v>133</v>
      </c>
      <c r="C13" s="8"/>
      <c r="D13" s="7">
        <v>0.05</v>
      </c>
      <c r="E13" s="217">
        <v>8853332.0475000013</v>
      </c>
      <c r="F13" s="355">
        <f>F9*D13</f>
        <v>8587729.4000000004</v>
      </c>
      <c r="G13" s="355">
        <f>$E$13-F13</f>
        <v>265602.64750000089</v>
      </c>
      <c r="H13" s="355">
        <f>H9*$D$13</f>
        <v>8592182.1740000006</v>
      </c>
      <c r="I13" s="355">
        <f>$E$13-H13</f>
        <v>261149.87350000069</v>
      </c>
      <c r="J13" s="355">
        <f>J9*D13</f>
        <v>8587718.4000000004</v>
      </c>
      <c r="K13" s="355">
        <f>$E$13-J13</f>
        <v>265613.64750000089</v>
      </c>
      <c r="L13" s="355">
        <f>L9*D13</f>
        <v>8591575.4500000011</v>
      </c>
      <c r="M13" s="355">
        <f>$E$13-L13</f>
        <v>261756.59750000015</v>
      </c>
      <c r="N13" s="355">
        <f>N9*D13</f>
        <v>8464866.75</v>
      </c>
      <c r="O13" s="355">
        <f>$E$13-N13</f>
        <v>388465.29750000127</v>
      </c>
      <c r="P13" s="355">
        <f>P9*D13</f>
        <v>8631999.5999999996</v>
      </c>
      <c r="Q13" s="355">
        <f>$E$13-P13</f>
        <v>221332.44750000164</v>
      </c>
      <c r="R13" s="355">
        <f>R9*D13</f>
        <v>8596574.75</v>
      </c>
      <c r="S13" s="355">
        <f>$E$13-R13</f>
        <v>256757.29750000127</v>
      </c>
      <c r="T13" s="355">
        <f>T9*D13</f>
        <v>6897771.5500000007</v>
      </c>
      <c r="U13" s="355">
        <f>$E$13-T13</f>
        <v>1955560.4975000005</v>
      </c>
      <c r="V13" s="217">
        <v>8853332.0475000013</v>
      </c>
      <c r="W13" s="355">
        <f>W9*D13</f>
        <v>8683350.773</v>
      </c>
      <c r="X13" s="355">
        <f>$E$13-W13</f>
        <v>169981.27450000122</v>
      </c>
      <c r="Y13" s="355">
        <f>Y9*3%</f>
        <v>5163291.9500999991</v>
      </c>
      <c r="Z13" s="355">
        <f>$E$13-Y13</f>
        <v>3690040.0974000022</v>
      </c>
    </row>
    <row r="14" spans="1:26" x14ac:dyDescent="0.25">
      <c r="A14" s="8"/>
      <c r="B14" s="8" t="s">
        <v>135</v>
      </c>
      <c r="C14" s="8"/>
      <c r="D14" s="7">
        <v>0.19</v>
      </c>
      <c r="E14" s="217">
        <v>1682133.0890250003</v>
      </c>
      <c r="F14" s="355">
        <f>F13*D14</f>
        <v>1631668.5860000001</v>
      </c>
      <c r="G14" s="355">
        <f>$E$14-F14</f>
        <v>50464.503025000216</v>
      </c>
      <c r="H14" s="355">
        <f>H13*$D$14</f>
        <v>1632514.6130600001</v>
      </c>
      <c r="I14" s="355">
        <f>$E$14-H14</f>
        <v>49618.475965000223</v>
      </c>
      <c r="J14" s="355">
        <f>J13*D14</f>
        <v>1631666.496</v>
      </c>
      <c r="K14" s="355">
        <f>$E$14-J14</f>
        <v>50466.5930250003</v>
      </c>
      <c r="L14" s="355">
        <f>L13*D14</f>
        <v>1632399.3355000003</v>
      </c>
      <c r="M14" s="355">
        <f>$E$14-L14</f>
        <v>49733.753525000066</v>
      </c>
      <c r="N14" s="355">
        <f>N13*D14</f>
        <v>1608324.6825000001</v>
      </c>
      <c r="O14" s="355">
        <f>$E$14-N14</f>
        <v>73808.406525000231</v>
      </c>
      <c r="P14" s="355">
        <f>P13*D14</f>
        <v>1640079.9239999999</v>
      </c>
      <c r="Q14" s="355">
        <f>$E$14-P14</f>
        <v>42053.16502500046</v>
      </c>
      <c r="R14" s="355">
        <f>R13*D14</f>
        <v>1633349.2025000001</v>
      </c>
      <c r="S14" s="355">
        <f>$E$14-R14</f>
        <v>48783.886525000213</v>
      </c>
      <c r="T14" s="355">
        <f>T13*D14</f>
        <v>1310576.5945000001</v>
      </c>
      <c r="U14" s="355">
        <f>$E$14-T14</f>
        <v>371556.49452500022</v>
      </c>
      <c r="V14" s="217">
        <v>1682133.0890250003</v>
      </c>
      <c r="W14" s="355">
        <f>W13*D14</f>
        <v>1649836.6468700001</v>
      </c>
      <c r="X14" s="355">
        <f>$E$14-W14</f>
        <v>32296.442155000288</v>
      </c>
      <c r="Y14" s="355">
        <f>Y13*D14</f>
        <v>981025.47051899985</v>
      </c>
      <c r="Z14" s="355">
        <f>$E$14-Y14</f>
        <v>701107.61850600049</v>
      </c>
    </row>
    <row r="15" spans="1:26" s="16" customFormat="1" x14ac:dyDescent="0.25">
      <c r="A15" s="13"/>
      <c r="B15" s="439" t="s">
        <v>129</v>
      </c>
      <c r="C15" s="439"/>
      <c r="D15" s="439"/>
      <c r="E15" s="354">
        <f>SUM(E11:E14)</f>
        <v>37095461.279025003</v>
      </c>
      <c r="F15" s="356">
        <f>SUM(F11:F14)</f>
        <v>35982586.186000004</v>
      </c>
      <c r="G15" s="356">
        <f>$E$15-F15</f>
        <v>1112875.0930249989</v>
      </c>
      <c r="H15" s="356">
        <f>SUM(H11:H14)</f>
        <v>36001243.30906</v>
      </c>
      <c r="I15" s="356">
        <f>$E$15-H15</f>
        <v>1094217.9699650034</v>
      </c>
      <c r="J15" s="362">
        <f>SUM(J11:J14)</f>
        <v>35982540.096000001</v>
      </c>
      <c r="K15" s="356">
        <f>$E$15-J15</f>
        <v>1112921.1830250025</v>
      </c>
      <c r="L15" s="356">
        <f>SUM(L11:L14)</f>
        <v>35998701.135500006</v>
      </c>
      <c r="M15" s="356">
        <f>$E$15-L15</f>
        <v>1096760.1435249969</v>
      </c>
      <c r="N15" s="362">
        <f>SUM(N11:N14)</f>
        <v>35467791.682499997</v>
      </c>
      <c r="O15" s="356">
        <f>$E$15-N15</f>
        <v>1627669.596525006</v>
      </c>
      <c r="P15" s="356">
        <f>SUM(P11:P14)</f>
        <v>36168078.324000001</v>
      </c>
      <c r="Q15" s="356">
        <f>$E$15-P15</f>
        <v>927382.95502500236</v>
      </c>
      <c r="R15" s="362">
        <f>SUM(R11:R14)</f>
        <v>36019648.202500001</v>
      </c>
      <c r="S15" s="356">
        <f>$E$15-R15</f>
        <v>1075813.0765250027</v>
      </c>
      <c r="T15" s="362">
        <f>SUM(T11:T14)</f>
        <v>28901662.794500005</v>
      </c>
      <c r="U15" s="356">
        <f>$E$15-T15</f>
        <v>8193798.4845249988</v>
      </c>
      <c r="V15" s="354">
        <f>SUM(V11:V14)</f>
        <v>37095461.279025003</v>
      </c>
      <c r="W15" s="362">
        <f>SUM(W11:W14)</f>
        <v>36383239.738870002</v>
      </c>
      <c r="X15" s="356">
        <f>$E$15-W15</f>
        <v>712221.54015500098</v>
      </c>
      <c r="Y15" s="362">
        <f>SUM(Y11:Y14)</f>
        <v>34559634.119335994</v>
      </c>
      <c r="Z15" s="356">
        <f>$E$15-Y15</f>
        <v>2535827.1596890092</v>
      </c>
    </row>
    <row r="16" spans="1:26" s="17" customFormat="1" ht="16.5" x14ac:dyDescent="0.25">
      <c r="A16" s="441" t="s">
        <v>130</v>
      </c>
      <c r="B16" s="441"/>
      <c r="C16" s="441"/>
      <c r="D16" s="441"/>
      <c r="E16" s="18">
        <f>E9+E15</f>
        <v>214162102.22902501</v>
      </c>
      <c r="F16" s="361">
        <f>F9+F15</f>
        <v>207737174.18599999</v>
      </c>
      <c r="G16" s="357">
        <f>$E$16-F16</f>
        <v>6424928.0430250168</v>
      </c>
      <c r="H16" s="361">
        <f>H9+H15</f>
        <v>207844886.78906003</v>
      </c>
      <c r="I16" s="357">
        <f>$E$16-H16</f>
        <v>6317215.4399649799</v>
      </c>
      <c r="J16" s="361">
        <f>J9+J15</f>
        <v>207736908.09600002</v>
      </c>
      <c r="K16" s="357">
        <f>$E$16-J16</f>
        <v>6425194.1330249906</v>
      </c>
      <c r="L16" s="361">
        <f>L9+L15</f>
        <v>207830210.13550001</v>
      </c>
      <c r="M16" s="357">
        <f>$E$16-L16</f>
        <v>6331892.0935249925</v>
      </c>
      <c r="N16" s="357">
        <f>N9+N15</f>
        <v>204765126.6825</v>
      </c>
      <c r="O16" s="357">
        <f>$E$16-N16</f>
        <v>9396975.5465250015</v>
      </c>
      <c r="P16" s="357">
        <f>P9+P15</f>
        <v>208808070.324</v>
      </c>
      <c r="Q16" s="357">
        <f>$E$16-P16</f>
        <v>5354031.9050250053</v>
      </c>
      <c r="R16" s="361">
        <f>R9+R15</f>
        <v>207951143.20249999</v>
      </c>
      <c r="S16" s="357">
        <f>$E$16-R16</f>
        <v>6210959.0265250206</v>
      </c>
      <c r="T16" s="361">
        <f>T9+T15</f>
        <v>166857093.79449999</v>
      </c>
      <c r="U16" s="357">
        <f>$E$16-T16</f>
        <v>47305008.434525013</v>
      </c>
      <c r="V16" s="18">
        <f>V9+V15</f>
        <v>214162102.22902501</v>
      </c>
      <c r="W16" s="361">
        <f>W9+W15</f>
        <v>210050255.19887</v>
      </c>
      <c r="X16" s="357">
        <f>$E$16-W16</f>
        <v>4111847.0301550031</v>
      </c>
      <c r="Y16" s="357">
        <f>Y9+Y15</f>
        <v>206669365.78933597</v>
      </c>
      <c r="Z16" s="357">
        <f>$E$16-Y16</f>
        <v>7492736.4396890402</v>
      </c>
    </row>
    <row r="17" spans="1:26" x14ac:dyDescent="0.25">
      <c r="F17" s="23"/>
      <c r="H17" s="23"/>
      <c r="J17" s="23"/>
      <c r="L17" s="23"/>
      <c r="N17" s="23"/>
      <c r="P17" s="23"/>
      <c r="R17" s="23"/>
      <c r="T17" s="23"/>
      <c r="W17" s="23"/>
      <c r="Y17" s="23"/>
    </row>
    <row r="18" spans="1:26" x14ac:dyDescent="0.25">
      <c r="F18" s="23"/>
      <c r="H18" s="23"/>
      <c r="J18" s="23"/>
      <c r="L18" s="23"/>
      <c r="N18" s="23"/>
      <c r="P18" s="23"/>
      <c r="R18" s="23"/>
      <c r="T18" s="23"/>
      <c r="W18" s="23"/>
      <c r="Y18" s="23"/>
    </row>
    <row r="19" spans="1:26" ht="67.5" x14ac:dyDescent="0.25">
      <c r="A19" s="11" t="s">
        <v>127</v>
      </c>
      <c r="B19" s="12" t="s">
        <v>7</v>
      </c>
      <c r="C19" s="12" t="s">
        <v>4</v>
      </c>
      <c r="D19" s="12" t="s">
        <v>138</v>
      </c>
      <c r="E19" s="14" t="s">
        <v>137</v>
      </c>
      <c r="F19" s="12" t="str">
        <f>F1</f>
        <v>CONSTRUCTORA BAYITH S.A.S.</v>
      </c>
      <c r="G19" s="12" t="s">
        <v>271</v>
      </c>
      <c r="H19" s="12" t="str">
        <f>H1</f>
        <v>CONSORCIO CUBO 2023</v>
      </c>
      <c r="I19" s="12" t="s">
        <v>271</v>
      </c>
      <c r="J19" s="12" t="str">
        <f>J1</f>
        <v>INSOL S.A.S.</v>
      </c>
      <c r="K19" s="12" t="s">
        <v>271</v>
      </c>
      <c r="L19" s="12" t="str">
        <f>L1</f>
        <v>CONSORCIO ARCANO</v>
      </c>
      <c r="M19" s="12" t="s">
        <v>271</v>
      </c>
      <c r="N19" s="12" t="str">
        <f>N1</f>
        <v>ARQUITECTURA MAS VERDE SAS</v>
      </c>
      <c r="O19" s="12" t="s">
        <v>271</v>
      </c>
      <c r="P19" s="12" t="str">
        <f>P1</f>
        <v>CONSORCIO OE</v>
      </c>
      <c r="Q19" s="12" t="s">
        <v>271</v>
      </c>
      <c r="R19" s="12" t="str">
        <f>R1</f>
        <v>ASIRMAR</v>
      </c>
      <c r="S19" s="12" t="s">
        <v>271</v>
      </c>
      <c r="T19" s="12" t="str">
        <f>T1</f>
        <v>WRUSSY INGENIEROS S.A.S</v>
      </c>
      <c r="U19" s="12" t="s">
        <v>271</v>
      </c>
      <c r="V19" s="14" t="s">
        <v>137</v>
      </c>
      <c r="W19" s="12" t="str">
        <f>W1</f>
        <v>GRUPO AZER SAS EN REORGANIZACIÓN</v>
      </c>
      <c r="X19" s="12" t="s">
        <v>271</v>
      </c>
      <c r="Y19" s="12" t="str">
        <f>Y1</f>
        <v>GRUPO EMPRESARIAL INVERSIONES Y CONSTRUCCIONES CIA S.A.S.</v>
      </c>
      <c r="Z19" s="12" t="s">
        <v>271</v>
      </c>
    </row>
    <row r="20" spans="1:26" x14ac:dyDescent="0.25">
      <c r="A20" s="216">
        <v>1</v>
      </c>
      <c r="B20" s="5" t="s">
        <v>163</v>
      </c>
      <c r="C20" s="6" t="s">
        <v>4</v>
      </c>
      <c r="D20" s="3">
        <v>1</v>
      </c>
      <c r="E20" s="217">
        <v>1735185.7000000002</v>
      </c>
      <c r="F20" s="355">
        <v>1683136</v>
      </c>
      <c r="G20" s="355">
        <f>$E$20-F20</f>
        <v>52049.700000000186</v>
      </c>
      <c r="H20" s="355">
        <v>1684001</v>
      </c>
      <c r="I20" s="355">
        <f>$E$20-H20</f>
        <v>51184.700000000186</v>
      </c>
      <c r="J20" s="355">
        <v>1683136</v>
      </c>
      <c r="K20" s="355">
        <f>$E$20-J20</f>
        <v>52049.700000000186</v>
      </c>
      <c r="L20" s="355">
        <v>1681700</v>
      </c>
      <c r="M20" s="355">
        <f>$E$20-L20</f>
        <v>53485.700000000186</v>
      </c>
      <c r="N20" s="355">
        <v>1661773</v>
      </c>
      <c r="O20" s="355">
        <f>$E$20-N20</f>
        <v>73412.700000000186</v>
      </c>
      <c r="P20" s="355">
        <v>1691810</v>
      </c>
      <c r="Q20" s="355">
        <f>$E$20-P20</f>
        <v>43375.700000000186</v>
      </c>
      <c r="R20" s="355">
        <v>1684873</v>
      </c>
      <c r="S20" s="355">
        <f>$E$20-R20</f>
        <v>50312.700000000186</v>
      </c>
      <c r="T20" s="355">
        <v>1613725</v>
      </c>
      <c r="U20" s="355">
        <f>$E$20-T20</f>
        <v>121460.70000000019</v>
      </c>
      <c r="V20" s="217">
        <v>1735185.7000000002</v>
      </c>
      <c r="W20" s="355">
        <v>1701877</v>
      </c>
      <c r="X20" s="355">
        <f>$E$20-W20</f>
        <v>33308.700000000186</v>
      </c>
      <c r="Y20" s="355">
        <v>1695626</v>
      </c>
      <c r="Z20" s="355">
        <f>$E$20-Y20</f>
        <v>39559.700000000186</v>
      </c>
    </row>
    <row r="21" spans="1:26" x14ac:dyDescent="0.25">
      <c r="A21" s="216">
        <v>2</v>
      </c>
      <c r="B21" s="5" t="s">
        <v>164</v>
      </c>
      <c r="C21" s="6" t="s">
        <v>4</v>
      </c>
      <c r="D21" s="3">
        <v>1</v>
      </c>
      <c r="E21" s="217">
        <v>2304172.5</v>
      </c>
      <c r="F21" s="355">
        <v>2235049</v>
      </c>
      <c r="G21" s="355">
        <f>$E$21-F21</f>
        <v>69123.5</v>
      </c>
      <c r="H21" s="355">
        <v>2236200</v>
      </c>
      <c r="I21" s="355">
        <f>$E$21-H21</f>
        <v>67972.5</v>
      </c>
      <c r="J21" s="355">
        <v>2235049</v>
      </c>
      <c r="K21" s="355">
        <f>$E$21-J21</f>
        <v>69123.5</v>
      </c>
      <c r="L21" s="355">
        <v>2237000</v>
      </c>
      <c r="M21" s="355">
        <f>$E$21-L21</f>
        <v>67172.5</v>
      </c>
      <c r="N21" s="355">
        <v>2206683</v>
      </c>
      <c r="O21" s="355">
        <f>$E$21-N21</f>
        <v>97489.5</v>
      </c>
      <c r="P21" s="355">
        <v>2246568</v>
      </c>
      <c r="Q21" s="355">
        <f>$E$21-P21</f>
        <v>57604.5</v>
      </c>
      <c r="R21" s="355">
        <v>2237354</v>
      </c>
      <c r="S21" s="355">
        <f>$E$21-R21</f>
        <v>66818.5</v>
      </c>
      <c r="T21" s="355">
        <v>1262241</v>
      </c>
      <c r="U21" s="355">
        <f>$E$21-T21</f>
        <v>1041931.5</v>
      </c>
      <c r="V21" s="217">
        <v>2304172.5</v>
      </c>
      <c r="W21" s="355">
        <v>2259933</v>
      </c>
      <c r="X21" s="355">
        <f>$E$21-W21</f>
        <v>44239.5</v>
      </c>
      <c r="Y21" s="355">
        <v>2251637</v>
      </c>
      <c r="Z21" s="355">
        <f>$E$21-Y21</f>
        <v>52535.5</v>
      </c>
    </row>
    <row r="22" spans="1:26" x14ac:dyDescent="0.25">
      <c r="A22" s="216">
        <v>3</v>
      </c>
      <c r="B22" s="5" t="s">
        <v>167</v>
      </c>
      <c r="C22" s="6" t="s">
        <v>4</v>
      </c>
      <c r="D22" s="3">
        <v>1</v>
      </c>
      <c r="E22" s="217">
        <v>154385.60000000001</v>
      </c>
      <c r="F22" s="355">
        <v>149754</v>
      </c>
      <c r="G22" s="355">
        <f>$E$22-F22</f>
        <v>4631.6000000000058</v>
      </c>
      <c r="H22" s="355">
        <v>149830</v>
      </c>
      <c r="I22" s="355">
        <f>$E$22-H22</f>
        <v>4555.6000000000058</v>
      </c>
      <c r="J22" s="355">
        <v>149754</v>
      </c>
      <c r="K22" s="355">
        <f>$E$22-J22</f>
        <v>4631.6000000000058</v>
      </c>
      <c r="L22" s="355">
        <v>149800</v>
      </c>
      <c r="M22" s="355">
        <f>$E$22-L22</f>
        <v>4585.6000000000058</v>
      </c>
      <c r="N22" s="355">
        <v>147853</v>
      </c>
      <c r="O22" s="355">
        <f>$E$22-N22</f>
        <v>6532.6000000000058</v>
      </c>
      <c r="P22" s="355">
        <v>150525</v>
      </c>
      <c r="Q22" s="355">
        <f>$E$22-P22</f>
        <v>3860.6000000000058</v>
      </c>
      <c r="R22" s="355">
        <v>149908</v>
      </c>
      <c r="S22" s="355">
        <f>$E$22-R22</f>
        <v>4477.6000000000058</v>
      </c>
      <c r="T22" s="355">
        <v>143578</v>
      </c>
      <c r="U22" s="355">
        <f>$E$22-T22</f>
        <v>10807.600000000006</v>
      </c>
      <c r="V22" s="217">
        <v>154385.60000000001</v>
      </c>
      <c r="W22" s="355">
        <v>151421</v>
      </c>
      <c r="X22" s="355">
        <f>$E$22-W22</f>
        <v>2964.6000000000058</v>
      </c>
      <c r="Y22" s="355">
        <v>150865</v>
      </c>
      <c r="Z22" s="355">
        <f>$E$22-Y22</f>
        <v>3520.6000000000058</v>
      </c>
    </row>
    <row r="23" spans="1:26" x14ac:dyDescent="0.25">
      <c r="A23" s="216">
        <v>4</v>
      </c>
      <c r="B23" s="5" t="s">
        <v>169</v>
      </c>
      <c r="C23" s="6" t="s">
        <v>4</v>
      </c>
      <c r="D23" s="3">
        <v>1</v>
      </c>
      <c r="E23" s="217">
        <v>170031.065</v>
      </c>
      <c r="F23" s="355">
        <v>164930</v>
      </c>
      <c r="G23" s="355">
        <f>$E$23-F23</f>
        <v>5101.0650000000023</v>
      </c>
      <c r="H23" s="355">
        <v>165015</v>
      </c>
      <c r="I23" s="355">
        <f>$E$23-H23</f>
        <v>5016.0650000000023</v>
      </c>
      <c r="J23" s="355">
        <v>164930</v>
      </c>
      <c r="K23" s="355">
        <f>$E$23-J23</f>
        <v>5101.0650000000023</v>
      </c>
      <c r="L23" s="355">
        <v>164800</v>
      </c>
      <c r="M23" s="355">
        <f>$E$23-L23</f>
        <v>5231.0650000000023</v>
      </c>
      <c r="N23" s="355">
        <v>162837</v>
      </c>
      <c r="O23" s="355">
        <f>$E$23-N23</f>
        <v>7194.0650000000023</v>
      </c>
      <c r="P23" s="355">
        <v>165780</v>
      </c>
      <c r="Q23" s="355">
        <f>$E$23-P23</f>
        <v>4251.0650000000023</v>
      </c>
      <c r="R23" s="355">
        <v>165100</v>
      </c>
      <c r="S23" s="355">
        <f>$E$23-R23</f>
        <v>4931.0650000000023</v>
      </c>
      <c r="T23" s="355">
        <v>158129</v>
      </c>
      <c r="U23" s="355">
        <f>$E$23-T23</f>
        <v>11902.065000000002</v>
      </c>
      <c r="V23" s="217">
        <v>170031.065</v>
      </c>
      <c r="W23" s="355">
        <v>166767</v>
      </c>
      <c r="X23" s="355">
        <f>$E$23-W23</f>
        <v>3264.0650000000023</v>
      </c>
      <c r="Y23" s="355">
        <v>166154</v>
      </c>
      <c r="Z23" s="355">
        <f>$E$23-Y23</f>
        <v>3877.0650000000023</v>
      </c>
    </row>
    <row r="24" spans="1:26" x14ac:dyDescent="0.25">
      <c r="A24" s="216">
        <v>5</v>
      </c>
      <c r="B24" s="5" t="s">
        <v>185</v>
      </c>
      <c r="C24" s="6" t="s">
        <v>4</v>
      </c>
      <c r="D24" s="3">
        <v>1</v>
      </c>
      <c r="E24" s="217">
        <v>2993035.75</v>
      </c>
      <c r="F24" s="355">
        <v>2903248</v>
      </c>
      <c r="G24" s="355">
        <f>$E$24-F24</f>
        <v>89787.75</v>
      </c>
      <c r="H24" s="355">
        <v>2904745</v>
      </c>
      <c r="I24" s="355">
        <f>$E$24-H24</f>
        <v>88290.75</v>
      </c>
      <c r="J24" s="355">
        <v>2903248</v>
      </c>
      <c r="K24" s="355">
        <f>$E$24-J24</f>
        <v>89787.75</v>
      </c>
      <c r="L24" s="355">
        <v>2904700</v>
      </c>
      <c r="M24" s="355">
        <f>$E$24-L24</f>
        <v>88335.75</v>
      </c>
      <c r="N24" s="355">
        <v>2866403</v>
      </c>
      <c r="O24" s="355">
        <f>$E$24-N24</f>
        <v>126632.75</v>
      </c>
      <c r="P24" s="355">
        <v>2918212</v>
      </c>
      <c r="Q24" s="355">
        <f>$E$24-P24</f>
        <v>74823.75</v>
      </c>
      <c r="R24" s="355">
        <v>2906241</v>
      </c>
      <c r="S24" s="355">
        <f>$E$24-R24</f>
        <v>86794.75</v>
      </c>
      <c r="T24" s="355">
        <v>2464420</v>
      </c>
      <c r="U24" s="355">
        <f>$E$24-T24</f>
        <v>528615.75</v>
      </c>
      <c r="V24" s="217">
        <v>2993035.75</v>
      </c>
      <c r="W24" s="355">
        <v>2935571</v>
      </c>
      <c r="X24" s="355">
        <f>$E$24-W24</f>
        <v>57464.75</v>
      </c>
      <c r="Y24" s="355">
        <v>2924796</v>
      </c>
      <c r="Z24" s="355">
        <f>$E$24-Y24</f>
        <v>68239.75</v>
      </c>
    </row>
    <row r="25" spans="1:26" ht="27" x14ac:dyDescent="0.25">
      <c r="A25" s="216">
        <v>6</v>
      </c>
      <c r="B25" s="5" t="s">
        <v>201</v>
      </c>
      <c r="C25" s="6" t="s">
        <v>4</v>
      </c>
      <c r="D25" s="3">
        <v>1</v>
      </c>
      <c r="E25" s="217">
        <v>8807702.4499999993</v>
      </c>
      <c r="F25" s="355">
        <v>8543474</v>
      </c>
      <c r="G25" s="355">
        <f>$E$25-F25</f>
        <v>264228.44999999925</v>
      </c>
      <c r="H25" s="355">
        <v>8547877</v>
      </c>
      <c r="I25" s="355">
        <f>$E$25-H25</f>
        <v>259825.44999999925</v>
      </c>
      <c r="J25" s="355">
        <v>8543474</v>
      </c>
      <c r="K25" s="355">
        <f>$E$25-J25</f>
        <v>264228.44999999925</v>
      </c>
      <c r="L25" s="355">
        <v>8551000</v>
      </c>
      <c r="M25" s="355">
        <f>$E$25-L25</f>
        <v>256702.44999999925</v>
      </c>
      <c r="N25" s="355">
        <v>8435053</v>
      </c>
      <c r="O25" s="355">
        <f>$E$25-N25</f>
        <v>372649.44999999925</v>
      </c>
      <c r="P25" s="355">
        <v>8587515</v>
      </c>
      <c r="Q25" s="355">
        <f>$E$25-P25</f>
        <v>220187.44999999925</v>
      </c>
      <c r="R25" s="355">
        <v>8552283</v>
      </c>
      <c r="S25" s="355">
        <f>$E$25-R25</f>
        <v>255419.44999999925</v>
      </c>
      <c r="T25" s="355">
        <v>7229747</v>
      </c>
      <c r="U25" s="355">
        <f>$E$25-T25</f>
        <v>1577955.4499999993</v>
      </c>
      <c r="V25" s="217">
        <v>8807702.4499999993</v>
      </c>
      <c r="W25" s="355">
        <v>8638598</v>
      </c>
      <c r="X25" s="355">
        <f>$E$25-W25</f>
        <v>169104.44999999925</v>
      </c>
      <c r="Y25" s="355">
        <v>8606891</v>
      </c>
      <c r="Z25" s="355">
        <f>$E$25-Y25</f>
        <v>200811.44999999925</v>
      </c>
    </row>
    <row r="26" spans="1:26" ht="27" x14ac:dyDescent="0.25">
      <c r="A26" s="216">
        <v>7</v>
      </c>
      <c r="B26" s="5" t="s">
        <v>367</v>
      </c>
      <c r="C26" s="6" t="s">
        <v>4</v>
      </c>
      <c r="D26" s="3">
        <v>1</v>
      </c>
      <c r="E26" s="217">
        <v>1620701.3000000003</v>
      </c>
      <c r="F26" s="355">
        <v>1572080</v>
      </c>
      <c r="G26" s="355">
        <f>$E$26-F26</f>
        <v>48621.300000000279</v>
      </c>
      <c r="H26" s="355">
        <v>1572892</v>
      </c>
      <c r="I26" s="355">
        <f>$E$26-H26</f>
        <v>47809.300000000279</v>
      </c>
      <c r="J26" s="355">
        <v>1572080</v>
      </c>
      <c r="K26" s="355">
        <f>$E$26-J26</f>
        <v>48621.300000000279</v>
      </c>
      <c r="L26" s="355">
        <v>1572100</v>
      </c>
      <c r="M26" s="355">
        <f>$E$26-L26</f>
        <v>48601.300000000279</v>
      </c>
      <c r="N26" s="355">
        <v>1552129</v>
      </c>
      <c r="O26" s="355">
        <f>$E$26-N26</f>
        <v>68572.300000000279</v>
      </c>
      <c r="P26" s="355">
        <v>1580184</v>
      </c>
      <c r="Q26" s="355">
        <f>$E$26-P26</f>
        <v>40517.300000000279</v>
      </c>
      <c r="R26" s="355">
        <v>1573702</v>
      </c>
      <c r="S26" s="355">
        <f>$E$26-R26</f>
        <v>46999.300000000279</v>
      </c>
      <c r="T26" s="355">
        <v>1507253</v>
      </c>
      <c r="U26" s="355">
        <f>$E$26-T26</f>
        <v>113448.30000000028</v>
      </c>
      <c r="V26" s="217">
        <v>1620701.3</v>
      </c>
      <c r="W26" s="355">
        <v>1589586</v>
      </c>
      <c r="X26" s="355">
        <f>$E$26-W26</f>
        <v>31115.300000000279</v>
      </c>
      <c r="Y26" s="355">
        <v>1583748</v>
      </c>
      <c r="Z26" s="355">
        <f>$E$26-Y26</f>
        <v>36953.300000000279</v>
      </c>
    </row>
    <row r="27" spans="1:26" x14ac:dyDescent="0.25">
      <c r="A27" s="216">
        <v>8</v>
      </c>
      <c r="B27" s="4" t="s">
        <v>216</v>
      </c>
      <c r="C27" s="6" t="s">
        <v>4</v>
      </c>
      <c r="D27" s="3">
        <v>1</v>
      </c>
      <c r="E27" s="217">
        <v>892909.04999999993</v>
      </c>
      <c r="F27" s="355">
        <v>866121</v>
      </c>
      <c r="G27" s="355">
        <f>$E$27-F27</f>
        <v>26788.04999999993</v>
      </c>
      <c r="H27" s="355">
        <v>866569</v>
      </c>
      <c r="I27" s="355">
        <f>$E$27-H27</f>
        <v>26340.04999999993</v>
      </c>
      <c r="J27" s="355">
        <v>866121</v>
      </c>
      <c r="K27" s="355">
        <f>$E$27-J27</f>
        <v>26788.04999999993</v>
      </c>
      <c r="L27" s="355">
        <v>866200</v>
      </c>
      <c r="M27" s="355">
        <f>$E$27-L27</f>
        <v>26709.04999999993</v>
      </c>
      <c r="N27" s="355">
        <v>855130</v>
      </c>
      <c r="O27" s="355">
        <f>$E$27-N27</f>
        <v>37779.04999999993</v>
      </c>
      <c r="P27" s="355">
        <v>870587</v>
      </c>
      <c r="Q27" s="355">
        <f>$E$27-P27</f>
        <v>22322.04999999993</v>
      </c>
      <c r="R27" s="355">
        <v>867014</v>
      </c>
      <c r="S27" s="355">
        <f>$E$27-R27</f>
        <v>25895.04999999993</v>
      </c>
      <c r="T27" s="355">
        <v>830406</v>
      </c>
      <c r="U27" s="355">
        <f>$E$27-T27</f>
        <v>62503.04999999993</v>
      </c>
      <c r="V27" s="217">
        <v>892909.04999999993</v>
      </c>
      <c r="W27" s="355">
        <v>875767</v>
      </c>
      <c r="X27" s="355">
        <f>$E$27-W27</f>
        <v>17142.04999999993</v>
      </c>
      <c r="Y27" s="355">
        <v>872550</v>
      </c>
      <c r="Z27" s="355">
        <f>$E$27-Y27</f>
        <v>20359.04999999993</v>
      </c>
    </row>
    <row r="28" spans="1:26" ht="27" x14ac:dyDescent="0.25">
      <c r="A28" s="216">
        <v>9</v>
      </c>
      <c r="B28" s="4" t="s">
        <v>241</v>
      </c>
      <c r="C28" s="6" t="s">
        <v>4</v>
      </c>
      <c r="D28" s="3">
        <v>1</v>
      </c>
      <c r="E28" s="217">
        <v>8239266.8000000007</v>
      </c>
      <c r="F28" s="355">
        <v>7992092</v>
      </c>
      <c r="G28" s="355">
        <f>$E$28-F28</f>
        <v>247174.80000000075</v>
      </c>
      <c r="H28" s="355">
        <v>7996217</v>
      </c>
      <c r="I28" s="355">
        <f>$E$28-H28</f>
        <v>243049.80000000075</v>
      </c>
      <c r="J28" s="355">
        <v>7992092</v>
      </c>
      <c r="K28" s="355">
        <f>$E$28-J28</f>
        <v>247174.80000000075</v>
      </c>
      <c r="L28" s="355">
        <v>7997600</v>
      </c>
      <c r="M28" s="355">
        <f>$E$28-L28</f>
        <v>241666.80000000075</v>
      </c>
      <c r="N28" s="355">
        <v>7890670</v>
      </c>
      <c r="O28" s="355">
        <f>$E$28-N28</f>
        <v>348596.80000000075</v>
      </c>
      <c r="P28" s="355">
        <v>8033290</v>
      </c>
      <c r="Q28" s="355">
        <f>$E$28-P28</f>
        <v>205976.80000000075</v>
      </c>
      <c r="R28" s="355">
        <v>8000333</v>
      </c>
      <c r="S28" s="355">
        <f>$E$28-R28</f>
        <v>238933.80000000075</v>
      </c>
      <c r="T28" s="355">
        <v>7662523</v>
      </c>
      <c r="U28" s="355">
        <f>$E$28-T28</f>
        <v>576743.80000000075</v>
      </c>
      <c r="V28" s="217">
        <v>8239266.8000000007</v>
      </c>
      <c r="W28" s="355">
        <v>8081072</v>
      </c>
      <c r="X28" s="355">
        <f>$E$28-W28</f>
        <v>158194.80000000075</v>
      </c>
      <c r="Y28" s="355">
        <v>8051414</v>
      </c>
      <c r="Z28" s="355">
        <f>$E$28-Y28</f>
        <v>187852.80000000075</v>
      </c>
    </row>
    <row r="29" spans="1:26" ht="27" x14ac:dyDescent="0.25">
      <c r="A29" s="216">
        <v>10</v>
      </c>
      <c r="B29" s="4" t="s">
        <v>252</v>
      </c>
      <c r="C29" s="6" t="s">
        <v>4</v>
      </c>
      <c r="D29" s="3">
        <v>1</v>
      </c>
      <c r="E29" s="217">
        <v>7372103.9999999991</v>
      </c>
      <c r="F29" s="355">
        <v>7150945</v>
      </c>
      <c r="G29" s="355">
        <f>$E$29-F29</f>
        <v>221158.99999999907</v>
      </c>
      <c r="H29" s="355">
        <v>7154634</v>
      </c>
      <c r="I29" s="355">
        <f>$E$29-H29</f>
        <v>217469.99999999907</v>
      </c>
      <c r="J29" s="355">
        <v>7150945</v>
      </c>
      <c r="K29" s="355">
        <f>$E$29-J29</f>
        <v>221158.99999999907</v>
      </c>
      <c r="L29" s="355">
        <v>7156500</v>
      </c>
      <c r="M29" s="355">
        <f>$E$29-L29</f>
        <v>215603.99999999907</v>
      </c>
      <c r="N29" s="355">
        <v>7060190</v>
      </c>
      <c r="O29" s="355">
        <f>$E$29-N29</f>
        <v>311913.99999999907</v>
      </c>
      <c r="P29" s="355">
        <v>7187806</v>
      </c>
      <c r="Q29" s="355">
        <f>$E$29-P29</f>
        <v>184297.99999999907</v>
      </c>
      <c r="R29" s="355">
        <v>7158316</v>
      </c>
      <c r="S29" s="355">
        <f>$E$29-R29</f>
        <v>213787.99999999907</v>
      </c>
      <c r="T29" s="355">
        <v>6856056</v>
      </c>
      <c r="U29" s="355">
        <f>$E$29-T29</f>
        <v>516047.99999999907</v>
      </c>
      <c r="V29" s="217">
        <v>7372103.9999999991</v>
      </c>
      <c r="W29" s="355">
        <v>7230563</v>
      </c>
      <c r="X29" s="355">
        <f>$E$29-W29</f>
        <v>141540.99999999907</v>
      </c>
      <c r="Y29" s="355">
        <v>7204023</v>
      </c>
      <c r="Z29" s="355">
        <f>$E$29-Y29</f>
        <v>168080.99999999907</v>
      </c>
    </row>
    <row r="30" spans="1:26" x14ac:dyDescent="0.25">
      <c r="A30" s="216">
        <v>11</v>
      </c>
      <c r="B30" s="5" t="s">
        <v>258</v>
      </c>
      <c r="C30" s="6" t="s">
        <v>4</v>
      </c>
      <c r="D30" s="3">
        <v>1</v>
      </c>
      <c r="E30" s="217">
        <v>3498106.95</v>
      </c>
      <c r="F30" s="355">
        <v>3393164</v>
      </c>
      <c r="G30" s="355">
        <f>$E$30-F30</f>
        <v>104942.95000000019</v>
      </c>
      <c r="H30" s="355">
        <v>3394912</v>
      </c>
      <c r="I30" s="355">
        <f>$E$30-H30</f>
        <v>103194.95000000019</v>
      </c>
      <c r="J30" s="355">
        <v>3393164</v>
      </c>
      <c r="K30" s="355">
        <f>$E$30-J30</f>
        <v>104942.95000000019</v>
      </c>
      <c r="L30" s="355">
        <v>3396400</v>
      </c>
      <c r="M30" s="355">
        <f>$E$30-L30</f>
        <v>101706.95000000019</v>
      </c>
      <c r="N30" s="355">
        <v>3350102</v>
      </c>
      <c r="O30" s="355">
        <f>$E$30-N30</f>
        <v>148004.95000000019</v>
      </c>
      <c r="P30" s="355">
        <v>3410656</v>
      </c>
      <c r="Q30" s="355">
        <f>$E$30-P30</f>
        <v>87450.950000000186</v>
      </c>
      <c r="R30" s="355">
        <v>3396661</v>
      </c>
      <c r="S30" s="355">
        <f>$E$30-R30</f>
        <v>101445.95000000019</v>
      </c>
      <c r="T30" s="355">
        <v>3253240</v>
      </c>
      <c r="U30" s="355">
        <f>$E$30-T30</f>
        <v>244866.95000000019</v>
      </c>
      <c r="V30" s="217">
        <v>3498106.95</v>
      </c>
      <c r="W30" s="355">
        <v>3430943</v>
      </c>
      <c r="X30" s="355">
        <f>$E$30-W30</f>
        <v>67163.950000000186</v>
      </c>
      <c r="Y30" s="355">
        <v>3418349</v>
      </c>
      <c r="Z30" s="355">
        <f>$E$30-Y30</f>
        <v>79757.950000000186</v>
      </c>
    </row>
    <row r="31" spans="1:26" ht="27" x14ac:dyDescent="0.25">
      <c r="A31" s="216">
        <v>12</v>
      </c>
      <c r="B31" s="5" t="s">
        <v>262</v>
      </c>
      <c r="C31" s="6" t="s">
        <v>4</v>
      </c>
      <c r="D31" s="3">
        <v>1</v>
      </c>
      <c r="E31" s="217">
        <v>217729.05000000002</v>
      </c>
      <c r="F31" s="355">
        <v>211197</v>
      </c>
      <c r="G31" s="355">
        <f>$E$31-F31</f>
        <v>6532.0500000000175</v>
      </c>
      <c r="H31" s="355">
        <v>211305</v>
      </c>
      <c r="I31" s="355">
        <f>$E$31-H31</f>
        <v>6424.0500000000175</v>
      </c>
      <c r="J31" s="355">
        <v>211197</v>
      </c>
      <c r="K31" s="355">
        <f>$E$31-J31</f>
        <v>6532.0500000000175</v>
      </c>
      <c r="L31" s="355">
        <v>211000</v>
      </c>
      <c r="M31" s="355">
        <f>$E$31-L31</f>
        <v>6729.0500000000175</v>
      </c>
      <c r="N31" s="355">
        <v>207689.00000000026</v>
      </c>
      <c r="O31" s="355">
        <f>$E$31-N31</f>
        <v>10040.049999999756</v>
      </c>
      <c r="P31" s="355">
        <v>212284</v>
      </c>
      <c r="Q31" s="355">
        <f>$E$31-P31</f>
        <v>5445.0500000000175</v>
      </c>
      <c r="R31" s="355">
        <v>211413</v>
      </c>
      <c r="S31" s="355">
        <f>$E$31-R31</f>
        <v>6316.0500000000175</v>
      </c>
      <c r="T31" s="355">
        <v>202487</v>
      </c>
      <c r="U31" s="355">
        <f>$E$31-T31</f>
        <v>15242.050000000017</v>
      </c>
      <c r="V31" s="217">
        <v>217729.05000000002</v>
      </c>
      <c r="W31" s="355">
        <v>213548</v>
      </c>
      <c r="X31" s="355">
        <f>$E$31-W31</f>
        <v>4181.0500000000175</v>
      </c>
      <c r="Y31" s="355">
        <v>212856</v>
      </c>
      <c r="Z31" s="355">
        <f>$E$31-Y31</f>
        <v>4873.0500000000175</v>
      </c>
    </row>
    <row r="32" spans="1:26" x14ac:dyDescent="0.25">
      <c r="A32" s="439" t="s">
        <v>128</v>
      </c>
      <c r="B32" s="439"/>
      <c r="C32" s="439"/>
      <c r="D32" s="439"/>
      <c r="E32" s="354">
        <v>38005344</v>
      </c>
      <c r="F32" s="356">
        <f>SUM(F20:F31)</f>
        <v>36865190</v>
      </c>
      <c r="G32" s="356">
        <f>$E$32-F32</f>
        <v>1140154</v>
      </c>
      <c r="H32" s="362">
        <f>SUM(H20:H31)</f>
        <v>36884197</v>
      </c>
      <c r="I32" s="356">
        <f>$E$32-H32</f>
        <v>1121147</v>
      </c>
      <c r="J32" s="362">
        <f>SUM(J20:J31)</f>
        <v>36865190</v>
      </c>
      <c r="K32" s="356">
        <f>$E$32-J32</f>
        <v>1140154</v>
      </c>
      <c r="L32" s="362">
        <f>SUM(L20:L31)</f>
        <v>36888800</v>
      </c>
      <c r="M32" s="356">
        <f>$E$32-L32</f>
        <v>1116544</v>
      </c>
      <c r="N32" s="362">
        <f>SUM(N20:N31)</f>
        <v>36396512</v>
      </c>
      <c r="O32" s="356">
        <f>$E$32-N32</f>
        <v>1608832</v>
      </c>
      <c r="P32" s="356">
        <f>SUM(P20:P31)</f>
        <v>37055217</v>
      </c>
      <c r="Q32" s="356">
        <f>$E$32-P32</f>
        <v>950127</v>
      </c>
      <c r="R32" s="356">
        <f>SUM(R20:R31)</f>
        <v>36903198</v>
      </c>
      <c r="S32" s="356">
        <f>$E$32-R32</f>
        <v>1102146</v>
      </c>
      <c r="T32" s="356">
        <f>SUM(T20:T31)</f>
        <v>33183805</v>
      </c>
      <c r="U32" s="356">
        <f>$E$32-T32</f>
        <v>4821539</v>
      </c>
      <c r="V32" s="354">
        <v>38005344</v>
      </c>
      <c r="W32" s="356">
        <f>SUM(W20:W31)</f>
        <v>37275646</v>
      </c>
      <c r="X32" s="356">
        <f>$E$32-W32</f>
        <v>729698</v>
      </c>
      <c r="Y32" s="356">
        <f>SUM(Y20:Y31)</f>
        <v>37138909</v>
      </c>
      <c r="Z32" s="356">
        <f>$E$32-Y32</f>
        <v>866435</v>
      </c>
    </row>
    <row r="33" spans="1:26" x14ac:dyDescent="0.25">
      <c r="A33" s="440" t="s">
        <v>136</v>
      </c>
      <c r="B33" s="440"/>
      <c r="C33" s="440"/>
      <c r="D33" s="7">
        <v>0.2</v>
      </c>
      <c r="E33" s="217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355"/>
      <c r="U33" s="355"/>
      <c r="V33" s="217"/>
      <c r="W33" s="355"/>
      <c r="X33" s="355"/>
      <c r="Y33" s="355"/>
      <c r="Z33" s="355"/>
    </row>
    <row r="34" spans="1:26" x14ac:dyDescent="0.25">
      <c r="A34" s="8"/>
      <c r="B34" s="8" t="s">
        <v>134</v>
      </c>
      <c r="C34" s="8"/>
      <c r="D34" s="9">
        <v>0.13</v>
      </c>
      <c r="E34" s="217">
        <v>4940692.9279499995</v>
      </c>
      <c r="F34" s="355">
        <f>ROUND(F32*D34,0)</f>
        <v>4792475</v>
      </c>
      <c r="G34" s="355">
        <f>$E$34-F34</f>
        <v>148217.92794999946</v>
      </c>
      <c r="H34" s="355">
        <f>H32*D34</f>
        <v>4794945.6100000003</v>
      </c>
      <c r="I34" s="355">
        <f>$E$34-H34</f>
        <v>145747.31794999912</v>
      </c>
      <c r="J34" s="355">
        <f>J32*D34</f>
        <v>4792474.7</v>
      </c>
      <c r="K34" s="355">
        <f>$E$34-J34</f>
        <v>148218.22794999927</v>
      </c>
      <c r="L34" s="355">
        <f>L32*D34</f>
        <v>4795544</v>
      </c>
      <c r="M34" s="355">
        <f>$E$34-L34</f>
        <v>145148.92794999946</v>
      </c>
      <c r="N34" s="355">
        <f>N32*D34</f>
        <v>4731546.5600000005</v>
      </c>
      <c r="O34" s="355">
        <f>$E$34-N34</f>
        <v>209146.36794999894</v>
      </c>
      <c r="P34" s="355">
        <f>P32*D34</f>
        <v>4817178.21</v>
      </c>
      <c r="Q34" s="355">
        <f>$E$34-P34</f>
        <v>123514.7179499995</v>
      </c>
      <c r="R34" s="355">
        <f>R32*D34</f>
        <v>4797415.74</v>
      </c>
      <c r="S34" s="355">
        <f>$E$34-R34</f>
        <v>143277.18794999924</v>
      </c>
      <c r="T34" s="355">
        <f>T32*D34</f>
        <v>4313894.6500000004</v>
      </c>
      <c r="U34" s="355">
        <f>$E$34-T34</f>
        <v>626798.27794999909</v>
      </c>
      <c r="V34" s="217">
        <v>4940692.9279499995</v>
      </c>
      <c r="W34" s="355">
        <f>W32*D34</f>
        <v>4845833.9800000004</v>
      </c>
      <c r="X34" s="355">
        <f>$E$34-W34</f>
        <v>94858.947949999012</v>
      </c>
      <c r="Y34" s="355">
        <f>Y32*15.5%</f>
        <v>5756530.8949999996</v>
      </c>
      <c r="Z34" s="355">
        <f>$E$34-Y34</f>
        <v>-815837.96705000009</v>
      </c>
    </row>
    <row r="35" spans="1:26" x14ac:dyDescent="0.25">
      <c r="A35" s="8"/>
      <c r="B35" s="8" t="s">
        <v>132</v>
      </c>
      <c r="C35" s="8"/>
      <c r="D35" s="7">
        <v>0.02</v>
      </c>
      <c r="E35" s="217">
        <v>760106.60429999989</v>
      </c>
      <c r="F35" s="355">
        <f>ROUND(F32*D35,0)</f>
        <v>737304</v>
      </c>
      <c r="G35" s="355">
        <f>$E$35-F35</f>
        <v>22802.60429999989</v>
      </c>
      <c r="H35" s="355">
        <f>H32*D35</f>
        <v>737683.94000000006</v>
      </c>
      <c r="I35" s="355">
        <f>$E$35-H35</f>
        <v>22422.664299999829</v>
      </c>
      <c r="J35" s="355">
        <f>J32*D35</f>
        <v>737303.8</v>
      </c>
      <c r="K35" s="355">
        <f>$E$35-J35</f>
        <v>22802.804299999843</v>
      </c>
      <c r="L35" s="355">
        <f>L32*D35</f>
        <v>737776</v>
      </c>
      <c r="M35" s="355">
        <f>$E$35-L35</f>
        <v>22330.60429999989</v>
      </c>
      <c r="N35" s="355">
        <f>N32*D35</f>
        <v>727930.24</v>
      </c>
      <c r="O35" s="355">
        <f>$E$35-N35</f>
        <v>32176.364299999899</v>
      </c>
      <c r="P35" s="355">
        <f>P32*D35</f>
        <v>741104.34</v>
      </c>
      <c r="Q35" s="355">
        <f>$E$35-P35</f>
        <v>19002.264299999923</v>
      </c>
      <c r="R35" s="355">
        <f>R32*D35</f>
        <v>738063.96</v>
      </c>
      <c r="S35" s="355">
        <f>$E$35-R35</f>
        <v>22042.644299999927</v>
      </c>
      <c r="T35" s="355">
        <f>T32*D35</f>
        <v>663676.1</v>
      </c>
      <c r="U35" s="355">
        <f>$E$35-T35</f>
        <v>96430.504299999913</v>
      </c>
      <c r="V35" s="217">
        <v>760106.60429999989</v>
      </c>
      <c r="W35" s="355">
        <f>W32*D35</f>
        <v>745512.92</v>
      </c>
      <c r="X35" s="355">
        <f>$E$35-W35</f>
        <v>14593.684299999848</v>
      </c>
      <c r="Y35" s="355">
        <f>Y32*0.01%</f>
        <v>3713.8909000000003</v>
      </c>
      <c r="Z35" s="355">
        <f>$E$35-Y35</f>
        <v>756392.71339999989</v>
      </c>
    </row>
    <row r="36" spans="1:26" x14ac:dyDescent="0.25">
      <c r="A36" s="8"/>
      <c r="B36" s="8" t="s">
        <v>133</v>
      </c>
      <c r="C36" s="8"/>
      <c r="D36" s="7">
        <v>0.05</v>
      </c>
      <c r="E36" s="217">
        <v>1900266.5107499999</v>
      </c>
      <c r="F36" s="355">
        <f>ROUND(F32*D36,0)</f>
        <v>1843260</v>
      </c>
      <c r="G36" s="355">
        <f>$E$36-F36</f>
        <v>57006.510749999899</v>
      </c>
      <c r="H36" s="355">
        <f>H32*D36</f>
        <v>1844209.85</v>
      </c>
      <c r="I36" s="355">
        <f>$E$36-H36</f>
        <v>56056.660749999806</v>
      </c>
      <c r="J36" s="355">
        <f>J32*D36</f>
        <v>1843259.5</v>
      </c>
      <c r="K36" s="355">
        <f>$E$36-J36</f>
        <v>57007.010749999899</v>
      </c>
      <c r="L36" s="355">
        <f>L32*D36</f>
        <v>1844440</v>
      </c>
      <c r="M36" s="355">
        <f>$E$36-L36</f>
        <v>55826.510749999899</v>
      </c>
      <c r="N36" s="355">
        <f>N32*D36</f>
        <v>1819825.6</v>
      </c>
      <c r="O36" s="355">
        <f>$E$36-N36</f>
        <v>80440.910749999806</v>
      </c>
      <c r="P36" s="355">
        <f>P32*D36</f>
        <v>1852760.85</v>
      </c>
      <c r="Q36" s="355">
        <f>$E$36-P36</f>
        <v>47505.660749999806</v>
      </c>
      <c r="R36" s="355">
        <f>R32*D36</f>
        <v>1845159.9000000001</v>
      </c>
      <c r="S36" s="355">
        <f>$E$36-R36</f>
        <v>55106.61074999976</v>
      </c>
      <c r="T36" s="355">
        <f>T32*D36</f>
        <v>1659190.25</v>
      </c>
      <c r="U36" s="355">
        <f>$E$36-T36</f>
        <v>241076.2607499999</v>
      </c>
      <c r="V36" s="217">
        <v>1900266.5107499999</v>
      </c>
      <c r="W36" s="355">
        <f>W32*D36</f>
        <v>1863782.3</v>
      </c>
      <c r="X36" s="355">
        <f>$E$36-W36</f>
        <v>36484.210749999853</v>
      </c>
      <c r="Y36" s="355">
        <f>Y32*4%</f>
        <v>1485556.36</v>
      </c>
      <c r="Z36" s="355">
        <f>$E$36-Y36</f>
        <v>414710.1507499998</v>
      </c>
    </row>
    <row r="37" spans="1:26" x14ac:dyDescent="0.25">
      <c r="A37" s="8"/>
      <c r="B37" s="8" t="s">
        <v>135</v>
      </c>
      <c r="C37" s="8"/>
      <c r="D37" s="7">
        <v>0.19</v>
      </c>
      <c r="E37" s="217">
        <v>361050.63704249996</v>
      </c>
      <c r="F37" s="355">
        <f>ROUND(F36*D37,0)</f>
        <v>350219</v>
      </c>
      <c r="G37" s="355">
        <f>$E$37-F37</f>
        <v>10831.637042499962</v>
      </c>
      <c r="H37" s="355">
        <f>H36*D37</f>
        <v>350399.87150000001</v>
      </c>
      <c r="I37" s="355">
        <f>$E$37-H37</f>
        <v>10650.765542499954</v>
      </c>
      <c r="J37" s="355">
        <f>J36*D37</f>
        <v>350219.30499999999</v>
      </c>
      <c r="K37" s="355">
        <f>$E$37-J37</f>
        <v>10831.332042499969</v>
      </c>
      <c r="L37" s="355">
        <f>L36*D37</f>
        <v>350443.6</v>
      </c>
      <c r="M37" s="355">
        <f>$E$37-L37</f>
        <v>10607.037042499986</v>
      </c>
      <c r="N37" s="355">
        <f>N36*D37</f>
        <v>345766.864</v>
      </c>
      <c r="O37" s="355">
        <f>$E$37-N37</f>
        <v>15283.773042499961</v>
      </c>
      <c r="P37" s="355">
        <f>P36*D37</f>
        <v>352024.56150000001</v>
      </c>
      <c r="Q37" s="355">
        <f>$E$37-P37</f>
        <v>9026.0755424999516</v>
      </c>
      <c r="R37" s="355">
        <f>R36*D37</f>
        <v>350580.38100000005</v>
      </c>
      <c r="S37" s="355">
        <f>$E$37-R37</f>
        <v>10470.25604249991</v>
      </c>
      <c r="T37" s="355">
        <f>T36*D37</f>
        <v>315246.14750000002</v>
      </c>
      <c r="U37" s="355">
        <f>$E$37-T37</f>
        <v>45804.489542499941</v>
      </c>
      <c r="V37" s="217">
        <v>361050.63704249996</v>
      </c>
      <c r="W37" s="355">
        <f>W36*D37</f>
        <v>354118.63699999999</v>
      </c>
      <c r="X37" s="355">
        <f>$E$37-W37</f>
        <v>6932.0000424999744</v>
      </c>
      <c r="Y37" s="355">
        <f>Y36*D37</f>
        <v>282255.7084</v>
      </c>
      <c r="Z37" s="355">
        <f>$E$37-Y37</f>
        <v>78794.928642499959</v>
      </c>
    </row>
    <row r="38" spans="1:26" x14ac:dyDescent="0.25">
      <c r="A38" s="13"/>
      <c r="B38" s="439" t="s">
        <v>129</v>
      </c>
      <c r="C38" s="439"/>
      <c r="D38" s="439"/>
      <c r="E38" s="354">
        <f>SUM(E34:E37)</f>
        <v>7962116.6800424997</v>
      </c>
      <c r="F38" s="356">
        <f>SUM(F34:F37)</f>
        <v>7723258</v>
      </c>
      <c r="G38" s="356">
        <f>$E$38-F38</f>
        <v>238858.68004249968</v>
      </c>
      <c r="H38" s="362">
        <f>SUM(H34:H37)</f>
        <v>7727239.2715000007</v>
      </c>
      <c r="I38" s="356">
        <f>$E$38-H38</f>
        <v>234877.40854249895</v>
      </c>
      <c r="J38" s="362">
        <f>SUM(J34:J37)</f>
        <v>7723257.3049999997</v>
      </c>
      <c r="K38" s="356">
        <f>$E$38-J38</f>
        <v>238859.37504249997</v>
      </c>
      <c r="L38" s="356">
        <f>SUM(L34:L37)</f>
        <v>7728203.5999999996</v>
      </c>
      <c r="M38" s="356">
        <f>$E$38-L38</f>
        <v>233913.08004250005</v>
      </c>
      <c r="N38" s="362">
        <f>SUM(N34:N37)</f>
        <v>7625069.2640000004</v>
      </c>
      <c r="O38" s="356">
        <f>$E$38-N38</f>
        <v>337047.41604249924</v>
      </c>
      <c r="P38" s="356">
        <f>SUM(P34:P37)</f>
        <v>7763067.9615000002</v>
      </c>
      <c r="Q38" s="356">
        <f>$E$38-P38</f>
        <v>199048.71854249947</v>
      </c>
      <c r="R38" s="362">
        <f>SUM(R34:R37)</f>
        <v>7731219.9810000006</v>
      </c>
      <c r="S38" s="356">
        <f>$E$38-R38</f>
        <v>230896.69904249907</v>
      </c>
      <c r="T38" s="362">
        <f>SUM(T34:T37)</f>
        <v>6952007.1475</v>
      </c>
      <c r="U38" s="356">
        <f>$E$38-T38</f>
        <v>1010109.5325424997</v>
      </c>
      <c r="V38" s="354">
        <f>SUM(V34:V37)</f>
        <v>7962116.6800424997</v>
      </c>
      <c r="W38" s="362">
        <f>SUM(W34:W37)</f>
        <v>7809247.8370000003</v>
      </c>
      <c r="X38" s="356">
        <f>$E$38-W38</f>
        <v>152868.84304249939</v>
      </c>
      <c r="Y38" s="362">
        <f>SUM(Y34:Y37)</f>
        <v>7528056.8542999998</v>
      </c>
      <c r="Z38" s="356">
        <f>$E$38-Y38</f>
        <v>434059.8257424999</v>
      </c>
    </row>
    <row r="39" spans="1:26" ht="16.5" x14ac:dyDescent="0.25">
      <c r="A39" s="441" t="s">
        <v>130</v>
      </c>
      <c r="B39" s="441"/>
      <c r="C39" s="441"/>
      <c r="D39" s="441"/>
      <c r="E39" s="18">
        <f>E32+E38</f>
        <v>45967460.680042498</v>
      </c>
      <c r="F39" s="357">
        <f>F32+F38</f>
        <v>44588448</v>
      </c>
      <c r="G39" s="357">
        <f>$E$39-F39</f>
        <v>1379012.6800424978</v>
      </c>
      <c r="H39" s="361">
        <f>H32+H38</f>
        <v>44611436.271499999</v>
      </c>
      <c r="I39" s="357">
        <f>$E$39-H39</f>
        <v>1356024.4085424989</v>
      </c>
      <c r="J39" s="361">
        <f>J32+J38</f>
        <v>44588447.305</v>
      </c>
      <c r="K39" s="357">
        <f>$E$39-J39</f>
        <v>1379013.3750424981</v>
      </c>
      <c r="L39" s="361">
        <f>L32+L38</f>
        <v>44617003.600000001</v>
      </c>
      <c r="M39" s="357">
        <f>$E$39-L39</f>
        <v>1350457.0800424963</v>
      </c>
      <c r="N39" s="361">
        <f>N32+N38</f>
        <v>44021581.263999999</v>
      </c>
      <c r="O39" s="357">
        <f>$E$39-N39</f>
        <v>1945879.4160424992</v>
      </c>
      <c r="P39" s="357">
        <f>P32+P38</f>
        <v>44818284.961500004</v>
      </c>
      <c r="Q39" s="357">
        <f>$E$39-P39</f>
        <v>1149175.7185424939</v>
      </c>
      <c r="R39" s="361">
        <f>R32+R38</f>
        <v>44634417.980999999</v>
      </c>
      <c r="S39" s="357">
        <f>$E$39-R39</f>
        <v>1333042.6990424991</v>
      </c>
      <c r="T39" s="361">
        <f>T32+T38</f>
        <v>40135812.147500001</v>
      </c>
      <c r="U39" s="357">
        <f>$E$39-T39</f>
        <v>5831648.5325424969</v>
      </c>
      <c r="V39" s="18">
        <f>V32+V38</f>
        <v>45967460.680042498</v>
      </c>
      <c r="W39" s="357">
        <f>W32+W38</f>
        <v>45084893.836999997</v>
      </c>
      <c r="X39" s="357">
        <f>$E$39-W39</f>
        <v>882566.84304250032</v>
      </c>
      <c r="Y39" s="357">
        <f>Y32+Y38</f>
        <v>44666965.8543</v>
      </c>
      <c r="Z39" s="357">
        <f>$E$39-Y39</f>
        <v>1300494.825742498</v>
      </c>
    </row>
  </sheetData>
  <mergeCells count="8">
    <mergeCell ref="B38:D38"/>
    <mergeCell ref="A39:D39"/>
    <mergeCell ref="A9:D9"/>
    <mergeCell ref="A10:C10"/>
    <mergeCell ref="B15:D15"/>
    <mergeCell ref="A16:D16"/>
    <mergeCell ref="A32:D32"/>
    <mergeCell ref="A33:C33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A1648-582B-4664-AAA8-E741E8782D33}">
  <dimension ref="A1:Z39"/>
  <sheetViews>
    <sheetView zoomScale="140" zoomScaleNormal="140" workbookViewId="0">
      <pane xSplit="5" ySplit="1" topLeftCell="R22" activePane="bottomRight" state="frozen"/>
      <selection pane="topRight" activeCell="F1" sqref="F1"/>
      <selection pane="bottomLeft" activeCell="A2" sqref="A2"/>
      <selection pane="bottomRight" activeCell="Y20" sqref="Y20:Y31"/>
    </sheetView>
  </sheetViews>
  <sheetFormatPr baseColWidth="10" defaultRowHeight="15" x14ac:dyDescent="0.25"/>
  <cols>
    <col min="1" max="1" width="4.42578125" style="2" bestFit="1" customWidth="1"/>
    <col min="2" max="2" width="30.85546875" style="10" customWidth="1"/>
    <col min="3" max="3" width="6.140625" style="2" bestFit="1" customWidth="1"/>
    <col min="4" max="4" width="6.42578125" style="2" bestFit="1" customWidth="1"/>
    <col min="5" max="5" width="12.7109375" style="15" bestFit="1" customWidth="1"/>
    <col min="6" max="6" width="12.28515625" style="2" customWidth="1"/>
    <col min="7" max="7" width="10.7109375" style="19" customWidth="1"/>
    <col min="8" max="8" width="14.28515625" style="2" customWidth="1"/>
    <col min="9" max="9" width="10.7109375" style="19" customWidth="1"/>
    <col min="10" max="10" width="12.28515625" style="2" customWidth="1"/>
    <col min="11" max="11" width="10.7109375" style="19" customWidth="1"/>
    <col min="12" max="12" width="12.28515625" style="2" customWidth="1"/>
    <col min="13" max="13" width="10.7109375" style="19" customWidth="1"/>
    <col min="14" max="14" width="12.28515625" style="2" customWidth="1"/>
    <col min="15" max="15" width="10.7109375" style="19" customWidth="1"/>
    <col min="16" max="16" width="12.28515625" style="2" customWidth="1"/>
    <col min="17" max="17" width="10.7109375" style="19" customWidth="1"/>
    <col min="18" max="18" width="12.28515625" style="2" customWidth="1"/>
    <col min="19" max="19" width="10.7109375" style="19" customWidth="1"/>
    <col min="20" max="20" width="12.28515625" style="2" customWidth="1"/>
    <col min="21" max="21" width="10.7109375" style="19" customWidth="1"/>
    <col min="22" max="22" width="12.7109375" style="15" bestFit="1" customWidth="1"/>
    <col min="23" max="23" width="12.28515625" style="2" customWidth="1"/>
    <col min="24" max="24" width="10.7109375" style="19" customWidth="1"/>
    <col min="25" max="25" width="12.28515625" style="2" customWidth="1"/>
    <col min="26" max="26" width="10.7109375" style="19" customWidth="1"/>
  </cols>
  <sheetData>
    <row r="1" spans="1:26" ht="40.5" x14ac:dyDescent="0.25">
      <c r="A1" s="11" t="s">
        <v>127</v>
      </c>
      <c r="B1" s="12" t="s">
        <v>7</v>
      </c>
      <c r="C1" s="12" t="s">
        <v>4</v>
      </c>
      <c r="D1" s="12" t="s">
        <v>138</v>
      </c>
      <c r="E1" s="14" t="s">
        <v>137</v>
      </c>
      <c r="F1" s="12" t="s">
        <v>459</v>
      </c>
      <c r="G1" s="12" t="s">
        <v>271</v>
      </c>
      <c r="H1" s="12" t="s">
        <v>460</v>
      </c>
      <c r="I1" s="12" t="s">
        <v>271</v>
      </c>
      <c r="J1" s="12" t="s">
        <v>461</v>
      </c>
      <c r="K1" s="12" t="s">
        <v>271</v>
      </c>
      <c r="L1" s="12" t="s">
        <v>462</v>
      </c>
      <c r="M1" s="12" t="s">
        <v>271</v>
      </c>
      <c r="N1" s="12" t="s">
        <v>463</v>
      </c>
      <c r="O1" s="12" t="s">
        <v>271</v>
      </c>
      <c r="P1" s="12" t="s">
        <v>464</v>
      </c>
      <c r="Q1" s="12" t="s">
        <v>271</v>
      </c>
      <c r="R1" s="12" t="s">
        <v>465</v>
      </c>
      <c r="S1" s="12" t="s">
        <v>271</v>
      </c>
      <c r="T1" s="12" t="s">
        <v>466</v>
      </c>
      <c r="U1" s="12" t="s">
        <v>271</v>
      </c>
      <c r="V1" s="14" t="s">
        <v>137</v>
      </c>
      <c r="W1" s="12" t="s">
        <v>467</v>
      </c>
      <c r="X1" s="12" t="s">
        <v>271</v>
      </c>
      <c r="Y1" s="12" t="s">
        <v>468</v>
      </c>
      <c r="Z1" s="12" t="s">
        <v>271</v>
      </c>
    </row>
    <row r="2" spans="1:26" ht="27" x14ac:dyDescent="0.25">
      <c r="A2" s="216">
        <v>1</v>
      </c>
      <c r="B2" s="5" t="s">
        <v>292</v>
      </c>
      <c r="C2" s="6" t="s">
        <v>4</v>
      </c>
      <c r="D2" s="3">
        <v>1</v>
      </c>
      <c r="E2" s="217">
        <v>4568383</v>
      </c>
      <c r="F2" s="355">
        <v>4496657</v>
      </c>
      <c r="G2" s="355">
        <f>$E$2-F2</f>
        <v>71726</v>
      </c>
      <c r="H2" s="355">
        <v>4478385.8548999997</v>
      </c>
      <c r="I2" s="355">
        <f>$E$2-H2</f>
        <v>89997.145100000314</v>
      </c>
      <c r="J2" s="355">
        <v>4357620</v>
      </c>
      <c r="K2" s="355">
        <f>$E$2-J2</f>
        <v>210763</v>
      </c>
      <c r="L2" s="355">
        <v>4437316</v>
      </c>
      <c r="M2" s="355">
        <f>$E$2-L2</f>
        <v>131067</v>
      </c>
      <c r="N2" s="355">
        <v>4477015.0279999999</v>
      </c>
      <c r="O2" s="355">
        <f>$E$2-N2</f>
        <v>91367.972000000067</v>
      </c>
      <c r="P2" s="355">
        <v>4441384.8</v>
      </c>
      <c r="Q2" s="355">
        <f>$E$2-P2</f>
        <v>126998.20000000019</v>
      </c>
      <c r="R2" s="355">
        <v>4476558</v>
      </c>
      <c r="S2" s="355">
        <f>$E$2-R2</f>
        <v>91825</v>
      </c>
      <c r="T2" s="355">
        <v>4489354</v>
      </c>
      <c r="U2" s="355">
        <f>$E$2-T2</f>
        <v>79029</v>
      </c>
      <c r="V2" s="217">
        <v>4568383</v>
      </c>
      <c r="W2" s="355">
        <v>4462854.2</v>
      </c>
      <c r="X2" s="355">
        <f>$E$2-W2</f>
        <v>105528.79999999981</v>
      </c>
      <c r="Y2" s="355">
        <v>4494442.5999999996</v>
      </c>
      <c r="Z2" s="355">
        <f>$E$2-Y2</f>
        <v>73940.400000000373</v>
      </c>
    </row>
    <row r="3" spans="1:26" x14ac:dyDescent="0.25">
      <c r="A3" s="216">
        <v>2</v>
      </c>
      <c r="B3" s="5" t="s">
        <v>299</v>
      </c>
      <c r="C3" s="6" t="s">
        <v>4</v>
      </c>
      <c r="D3" s="3">
        <v>1</v>
      </c>
      <c r="E3" s="217">
        <v>26508156.666666668</v>
      </c>
      <c r="F3" s="355">
        <v>26092050</v>
      </c>
      <c r="G3" s="355">
        <f>$E$3-F3</f>
        <v>416106.66666666791</v>
      </c>
      <c r="H3" s="355">
        <v>25985946.307099998</v>
      </c>
      <c r="I3" s="355">
        <f>$E$3-H3</f>
        <v>522210.35956666991</v>
      </c>
      <c r="J3" s="355">
        <v>25276000</v>
      </c>
      <c r="K3" s="355">
        <f>$E$3-J3</f>
        <v>1232156.6666666679</v>
      </c>
      <c r="L3" s="355">
        <v>25747720</v>
      </c>
      <c r="M3" s="355">
        <f>$E$3-L3</f>
        <v>760436.66666666791</v>
      </c>
      <c r="N3" s="355">
        <v>25977993.699999999</v>
      </c>
      <c r="O3" s="355">
        <f>$E$3-N3</f>
        <v>530162.96666666865</v>
      </c>
      <c r="P3" s="355">
        <v>25771230</v>
      </c>
      <c r="Q3" s="355">
        <f>$E$3-P3</f>
        <v>736926.66666666791</v>
      </c>
      <c r="R3" s="355">
        <v>25975420</v>
      </c>
      <c r="S3" s="355">
        <f>$E$3-R3</f>
        <v>532736.66666666791</v>
      </c>
      <c r="T3" s="355">
        <v>26049570</v>
      </c>
      <c r="U3" s="355">
        <f>$E$3-T3</f>
        <v>458586.66666666791</v>
      </c>
      <c r="V3" s="217">
        <v>26508156.666666668</v>
      </c>
      <c r="W3" s="355">
        <v>25895830</v>
      </c>
      <c r="X3" s="355">
        <f>$E$3-W3</f>
        <v>612326.66666666791</v>
      </c>
      <c r="Y3" s="355">
        <v>26079100</v>
      </c>
      <c r="Z3" s="355">
        <f>$E$3-Y3</f>
        <v>429056.66666666791</v>
      </c>
    </row>
    <row r="4" spans="1:26" x14ac:dyDescent="0.25">
      <c r="A4" s="216">
        <v>3</v>
      </c>
      <c r="B4" s="4" t="s">
        <v>308</v>
      </c>
      <c r="C4" s="6" t="s">
        <v>4</v>
      </c>
      <c r="D4" s="3">
        <v>1</v>
      </c>
      <c r="E4" s="217">
        <v>18398710.550000001</v>
      </c>
      <c r="F4" s="355">
        <v>17871492</v>
      </c>
      <c r="G4" s="355">
        <f>$E$4-F4</f>
        <v>527218.55000000075</v>
      </c>
      <c r="H4" s="355">
        <v>18036256.393299997</v>
      </c>
      <c r="I4" s="355">
        <f>$E$4-H4</f>
        <v>362454.15670000389</v>
      </c>
      <c r="J4" s="355">
        <v>17529017</v>
      </c>
      <c r="K4" s="355">
        <f>$E$4-J4</f>
        <v>869693.55000000075</v>
      </c>
      <c r="L4" s="355">
        <v>17870790</v>
      </c>
      <c r="M4" s="355">
        <f>$E$4-L4</f>
        <v>527920.55000000075</v>
      </c>
      <c r="N4" s="355">
        <v>18030737.199999999</v>
      </c>
      <c r="O4" s="355">
        <f>$E$4-N4</f>
        <v>367973.35000000149</v>
      </c>
      <c r="P4" s="355">
        <v>17887362.289999999</v>
      </c>
      <c r="Q4" s="355">
        <f>$E$4-P4</f>
        <v>511348.26000000164</v>
      </c>
      <c r="R4" s="355">
        <v>18029147</v>
      </c>
      <c r="S4" s="355">
        <f>$E$4-R4</f>
        <v>369563.55000000075</v>
      </c>
      <c r="T4" s="355">
        <v>18080383</v>
      </c>
      <c r="U4" s="355">
        <f>$E$4-T4</f>
        <v>318327.55000000075</v>
      </c>
      <c r="V4" s="217">
        <v>18398710.550000001</v>
      </c>
      <c r="W4" s="355">
        <v>17973612.149999999</v>
      </c>
      <c r="X4" s="355">
        <f>$E$4-W4</f>
        <v>425098.40000000224</v>
      </c>
      <c r="Y4" s="355">
        <v>18100904.670000002</v>
      </c>
      <c r="Z4" s="355">
        <f>$E$4-Y4</f>
        <v>297805.87999999896</v>
      </c>
    </row>
    <row r="5" spans="1:26" x14ac:dyDescent="0.25">
      <c r="A5" s="216">
        <v>4</v>
      </c>
      <c r="B5" s="4" t="s">
        <v>314</v>
      </c>
      <c r="C5" s="6" t="s">
        <v>4</v>
      </c>
      <c r="D5" s="3">
        <v>1</v>
      </c>
      <c r="E5" s="217">
        <v>9464086.666666666</v>
      </c>
      <c r="F5" s="355">
        <v>9315410</v>
      </c>
      <c r="G5" s="355">
        <f>$E$5-F5</f>
        <v>148676.66666666605</v>
      </c>
      <c r="H5" s="355">
        <v>9277643.5057999995</v>
      </c>
      <c r="I5" s="355">
        <f>$E$5-H5</f>
        <v>186443.16086666659</v>
      </c>
      <c r="J5" s="355">
        <v>9009000</v>
      </c>
      <c r="K5" s="355">
        <f>$E$5-J5</f>
        <v>455086.66666666605</v>
      </c>
      <c r="L5" s="355">
        <v>9192560</v>
      </c>
      <c r="M5" s="355">
        <f>$E$5-L5</f>
        <v>271526.66666666605</v>
      </c>
      <c r="N5" s="355">
        <v>9274803.2000000011</v>
      </c>
      <c r="O5" s="355">
        <f>$E$5-N5</f>
        <v>189283.46666666493</v>
      </c>
      <c r="P5" s="355">
        <v>9201010</v>
      </c>
      <c r="Q5" s="355">
        <f>$E$5-P5</f>
        <v>263076.66666666605</v>
      </c>
      <c r="R5" s="355">
        <v>9273680</v>
      </c>
      <c r="S5" s="355">
        <f>$E$5-R5</f>
        <v>190406.66666666605</v>
      </c>
      <c r="T5" s="355">
        <v>9300460</v>
      </c>
      <c r="U5" s="355">
        <f>$E$5-T5</f>
        <v>163626.66666666605</v>
      </c>
      <c r="V5" s="217">
        <v>9464086.666666666</v>
      </c>
      <c r="W5" s="355">
        <v>9245470</v>
      </c>
      <c r="X5" s="355">
        <f>$E$5-W5</f>
        <v>218616.66666666605</v>
      </c>
      <c r="Y5" s="355">
        <v>9310990</v>
      </c>
      <c r="Z5" s="355">
        <f>$E$5-Y5</f>
        <v>153096.66666666605</v>
      </c>
    </row>
    <row r="6" spans="1:26" ht="27" x14ac:dyDescent="0.25">
      <c r="A6" s="216">
        <v>5</v>
      </c>
      <c r="B6" s="4" t="s">
        <v>323</v>
      </c>
      <c r="C6" s="6" t="s">
        <v>4</v>
      </c>
      <c r="D6" s="3">
        <v>1</v>
      </c>
      <c r="E6" s="217">
        <v>46259409</v>
      </c>
      <c r="F6" s="355">
        <v>45533148</v>
      </c>
      <c r="G6" s="355">
        <f>$E$6-F6</f>
        <v>726261</v>
      </c>
      <c r="H6" s="355">
        <v>45348098.642699994</v>
      </c>
      <c r="I6" s="355">
        <f>$E$6-H6</f>
        <v>911310.35730000585</v>
      </c>
      <c r="J6" s="355">
        <v>44130091</v>
      </c>
      <c r="K6" s="355">
        <f>$E$6-J6</f>
        <v>2129318</v>
      </c>
      <c r="L6" s="355">
        <v>44932236</v>
      </c>
      <c r="M6" s="355">
        <f>$E$6-L6</f>
        <v>1327173</v>
      </c>
      <c r="N6" s="355">
        <v>45334221</v>
      </c>
      <c r="O6" s="355">
        <f>$E$6-N6</f>
        <v>925188</v>
      </c>
      <c r="P6" s="355">
        <v>44973399.409999996</v>
      </c>
      <c r="Q6" s="355">
        <f>$E$6-P6</f>
        <v>1286009.5900000036</v>
      </c>
      <c r="R6" s="355">
        <v>45329603</v>
      </c>
      <c r="S6" s="355">
        <f>$E$6-R6</f>
        <v>929806</v>
      </c>
      <c r="T6" s="355">
        <v>45459106</v>
      </c>
      <c r="U6" s="355">
        <f>$E$6-T6</f>
        <v>800303</v>
      </c>
      <c r="V6" s="217">
        <v>46259409</v>
      </c>
      <c r="W6" s="355">
        <v>45190830.600000001</v>
      </c>
      <c r="X6" s="355">
        <f>$E$6-W6</f>
        <v>1068578.3999999985</v>
      </c>
      <c r="Y6" s="355">
        <v>45510719.549999997</v>
      </c>
      <c r="Z6" s="355">
        <f>$E$6-Y6</f>
        <v>748689.45000000298</v>
      </c>
    </row>
    <row r="7" spans="1:26" x14ac:dyDescent="0.25">
      <c r="A7" s="216">
        <v>6</v>
      </c>
      <c r="B7" s="5" t="s">
        <v>328</v>
      </c>
      <c r="C7" s="6" t="s">
        <v>4</v>
      </c>
      <c r="D7" s="3">
        <v>1</v>
      </c>
      <c r="E7" s="217">
        <v>69497761.733333334</v>
      </c>
      <c r="F7" s="355">
        <v>68406701</v>
      </c>
      <c r="G7" s="355">
        <f>$E$7-F7</f>
        <v>1091060.7333333343</v>
      </c>
      <c r="H7" s="355">
        <v>68128656.088599995</v>
      </c>
      <c r="I7" s="355">
        <f>$E$7-H7</f>
        <v>1369105.6447333395</v>
      </c>
      <c r="J7" s="355">
        <v>66298599.999999993</v>
      </c>
      <c r="K7" s="355">
        <f>$E$7-J7</f>
        <v>3199161.7333333418</v>
      </c>
      <c r="L7" s="355">
        <v>67503903</v>
      </c>
      <c r="M7" s="355">
        <f>$E$7-L7</f>
        <v>1993858.7333333343</v>
      </c>
      <c r="N7" s="355">
        <v>68107807</v>
      </c>
      <c r="O7" s="355">
        <f>$E$7-N7</f>
        <v>1389954.7333333343</v>
      </c>
      <c r="P7" s="355">
        <v>67565693.849999994</v>
      </c>
      <c r="Q7" s="355">
        <f>$E$7-P7</f>
        <v>1932067.8833333403</v>
      </c>
      <c r="R7" s="355">
        <v>68100868</v>
      </c>
      <c r="S7" s="355">
        <f>$E$7-R7</f>
        <v>1396893.7333333343</v>
      </c>
      <c r="T7" s="355">
        <v>68295464</v>
      </c>
      <c r="U7" s="355">
        <f>$E$7-T7</f>
        <v>1202297.7333333343</v>
      </c>
      <c r="V7" s="217">
        <v>69497761.733333334</v>
      </c>
      <c r="W7" s="355">
        <v>67892332.349999994</v>
      </c>
      <c r="X7" s="355">
        <f>$E$7-W7</f>
        <v>1605429.3833333403</v>
      </c>
      <c r="Y7" s="355">
        <v>68372927.849999994</v>
      </c>
      <c r="Z7" s="355">
        <f>$E$7-Y7</f>
        <v>1124833.8833333403</v>
      </c>
    </row>
    <row r="8" spans="1:26" ht="27" x14ac:dyDescent="0.25">
      <c r="A8" s="216">
        <v>7</v>
      </c>
      <c r="B8" s="5" t="s">
        <v>333</v>
      </c>
      <c r="C8" s="6" t="s">
        <v>4</v>
      </c>
      <c r="D8" s="3">
        <v>1</v>
      </c>
      <c r="E8" s="217">
        <v>2370133.3333333335</v>
      </c>
      <c r="F8" s="355">
        <v>2332800</v>
      </c>
      <c r="G8" s="355">
        <f>$E$8-F8</f>
        <v>37333.333333333489</v>
      </c>
      <c r="H8" s="355">
        <v>2323441.3799000001</v>
      </c>
      <c r="I8" s="355">
        <f>$E$8-H8</f>
        <v>46691.95343333343</v>
      </c>
      <c r="J8" s="355">
        <v>2240000</v>
      </c>
      <c r="K8" s="355">
        <f>$E$8-J8</f>
        <v>130133.33333333349</v>
      </c>
      <c r="L8" s="355">
        <v>2302000</v>
      </c>
      <c r="M8" s="355">
        <f>$E$8-L8</f>
        <v>68133.333333333489</v>
      </c>
      <c r="N8" s="355">
        <v>2322732</v>
      </c>
      <c r="O8" s="355">
        <f>$E$8-N8</f>
        <v>47401.333333333489</v>
      </c>
      <c r="P8" s="355">
        <v>2304400</v>
      </c>
      <c r="Q8" s="355">
        <f>$E$8-P8</f>
        <v>65733.333333333489</v>
      </c>
      <c r="R8" s="355">
        <v>2322400</v>
      </c>
      <c r="S8" s="355">
        <f>$E$8-R8</f>
        <v>47733.333333333489</v>
      </c>
      <c r="T8" s="355">
        <v>2329200</v>
      </c>
      <c r="U8" s="355">
        <f>$E$8-T8</f>
        <v>40933.333333333489</v>
      </c>
      <c r="V8" s="217">
        <v>2370133.3333333335</v>
      </c>
      <c r="W8" s="355">
        <v>2315200</v>
      </c>
      <c r="X8" s="355">
        <f>$E$8-W8</f>
        <v>54933.333333333489</v>
      </c>
      <c r="Y8" s="355">
        <v>2331600</v>
      </c>
      <c r="Z8" s="355">
        <f>$E$8-Y8</f>
        <v>38533.333333333489</v>
      </c>
    </row>
    <row r="9" spans="1:26" s="16" customFormat="1" x14ac:dyDescent="0.25">
      <c r="A9" s="439" t="s">
        <v>128</v>
      </c>
      <c r="B9" s="439"/>
      <c r="C9" s="439"/>
      <c r="D9" s="439"/>
      <c r="E9" s="354">
        <f>SUM(E2:E8)</f>
        <v>177066640.95000002</v>
      </c>
      <c r="F9" s="356">
        <f>SUM(F2:F8)</f>
        <v>174048258</v>
      </c>
      <c r="G9" s="356">
        <f>$E$9-F9</f>
        <v>3018382.9500000179</v>
      </c>
      <c r="H9" s="356">
        <f>SUM(H2:H8)</f>
        <v>173578428.17230001</v>
      </c>
      <c r="I9" s="356">
        <f>$E$9-H9</f>
        <v>3488212.777700007</v>
      </c>
      <c r="J9" s="362">
        <f>SUM(J2:J8)</f>
        <v>168840328</v>
      </c>
      <c r="K9" s="356">
        <f>$E$9-J9</f>
        <v>8226312.9500000179</v>
      </c>
      <c r="L9" s="356">
        <f>SUM(L2:L8)</f>
        <v>171986525</v>
      </c>
      <c r="M9" s="356">
        <f>$E$9-L9</f>
        <v>5080115.9500000179</v>
      </c>
      <c r="N9" s="356">
        <f>SUM(N2:N8)</f>
        <v>173525309.12800002</v>
      </c>
      <c r="O9" s="356">
        <f>$E$9-N9</f>
        <v>3541331.8219999969</v>
      </c>
      <c r="P9" s="356">
        <f>SUM(P2:P8)</f>
        <v>172144480.34999999</v>
      </c>
      <c r="Q9" s="356">
        <f>$E$9-P9</f>
        <v>4922160.6000000238</v>
      </c>
      <c r="R9" s="356">
        <f>SUM(R2:R8)</f>
        <v>173507676</v>
      </c>
      <c r="S9" s="356">
        <f>$E$9-R9</f>
        <v>3558964.9500000179</v>
      </c>
      <c r="T9" s="356">
        <f>SUM(T2:T8)</f>
        <v>174003537</v>
      </c>
      <c r="U9" s="356">
        <f>$E$9-T9</f>
        <v>3063103.9500000179</v>
      </c>
      <c r="V9" s="354">
        <f>SUM(V2:V8)</f>
        <v>177066640.95000002</v>
      </c>
      <c r="W9" s="356">
        <f>SUM(W2:W8)</f>
        <v>172976129.29999998</v>
      </c>
      <c r="X9" s="356">
        <f>$E$9-W9</f>
        <v>4090511.6500000358</v>
      </c>
      <c r="Y9" s="356">
        <f>SUM(Y2:Y8)</f>
        <v>174200684.66999999</v>
      </c>
      <c r="Z9" s="356">
        <f>$E$9-Y9</f>
        <v>2865956.280000031</v>
      </c>
    </row>
    <row r="10" spans="1:26" x14ac:dyDescent="0.25">
      <c r="A10" s="440" t="s">
        <v>136</v>
      </c>
      <c r="B10" s="440"/>
      <c r="C10" s="440"/>
      <c r="D10" s="7">
        <v>0.2</v>
      </c>
      <c r="E10" s="217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217"/>
      <c r="W10" s="355"/>
      <c r="X10" s="355"/>
      <c r="Y10" s="355"/>
      <c r="Z10" s="355"/>
    </row>
    <row r="11" spans="1:26" x14ac:dyDescent="0.25">
      <c r="A11" s="8"/>
      <c r="B11" s="8" t="s">
        <v>134</v>
      </c>
      <c r="C11" s="8"/>
      <c r="D11" s="9">
        <v>0.13</v>
      </c>
      <c r="E11" s="217">
        <v>23018663.323500004</v>
      </c>
      <c r="F11" s="355">
        <f>(F9*D11)</f>
        <v>22626273.539999999</v>
      </c>
      <c r="G11" s="355">
        <f>$E$11-F11</f>
        <v>392389.78350000456</v>
      </c>
      <c r="H11" s="355">
        <f>H9*$D$11</f>
        <v>22565195.662399001</v>
      </c>
      <c r="I11" s="355">
        <f>$E$11-H11</f>
        <v>453467.66110100225</v>
      </c>
      <c r="J11" s="355">
        <f>J9*D11</f>
        <v>21949242.640000001</v>
      </c>
      <c r="K11" s="355">
        <f>$E$11-J11</f>
        <v>1069420.6835000031</v>
      </c>
      <c r="L11" s="355">
        <f>L9*D11</f>
        <v>22358248.25</v>
      </c>
      <c r="M11" s="355">
        <f>$E$11-L11</f>
        <v>660415.07350000367</v>
      </c>
      <c r="N11" s="355">
        <f>N9*D11</f>
        <v>22558290.186640002</v>
      </c>
      <c r="O11" s="355">
        <f>$E$11-N11</f>
        <v>460373.13686000183</v>
      </c>
      <c r="P11" s="355">
        <f>P9*D11</f>
        <v>22378782.445500001</v>
      </c>
      <c r="Q11" s="355">
        <f>$E$11-P11</f>
        <v>639880.87800000235</v>
      </c>
      <c r="R11" s="355">
        <f>R9*D11</f>
        <v>22555997.879999999</v>
      </c>
      <c r="S11" s="355">
        <f>$E$11-R11</f>
        <v>462665.44350000471</v>
      </c>
      <c r="T11" s="355">
        <f>T9*D11</f>
        <v>22620459.810000002</v>
      </c>
      <c r="U11" s="355">
        <f>$E$11-T11</f>
        <v>398203.51350000128</v>
      </c>
      <c r="V11" s="217">
        <v>23018663.323500004</v>
      </c>
      <c r="W11" s="355">
        <f>W9*D11</f>
        <v>22486896.808999997</v>
      </c>
      <c r="X11" s="355">
        <f>$E$11-W11</f>
        <v>531766.51450000703</v>
      </c>
      <c r="Y11" s="355">
        <f>Y9*D11</f>
        <v>22646089.007099997</v>
      </c>
      <c r="Z11" s="355">
        <f>$E$11-Y11</f>
        <v>372574.31640000641</v>
      </c>
    </row>
    <row r="12" spans="1:26" x14ac:dyDescent="0.25">
      <c r="A12" s="8"/>
      <c r="B12" s="8" t="s">
        <v>132</v>
      </c>
      <c r="C12" s="8"/>
      <c r="D12" s="7">
        <v>0.02</v>
      </c>
      <c r="E12" s="217">
        <v>3541332.8190000006</v>
      </c>
      <c r="F12" s="355">
        <f>F9*D12</f>
        <v>3480965.16</v>
      </c>
      <c r="G12" s="355">
        <f>$E$12-F12</f>
        <v>60367.659000000451</v>
      </c>
      <c r="H12" s="355">
        <f>H9*$D$12</f>
        <v>3471568.5634460002</v>
      </c>
      <c r="I12" s="355">
        <f>$E$12-H12</f>
        <v>69764.255554000381</v>
      </c>
      <c r="J12" s="355">
        <f>J9*D12</f>
        <v>3376806.56</v>
      </c>
      <c r="K12" s="355">
        <f>$E$12-J12</f>
        <v>164526.25900000054</v>
      </c>
      <c r="L12" s="355">
        <f>L9*D12</f>
        <v>3439730.5</v>
      </c>
      <c r="M12" s="355">
        <f>$E$12-L12</f>
        <v>101602.3190000006</v>
      </c>
      <c r="N12" s="355">
        <f>N9*D12</f>
        <v>3470506.1825600006</v>
      </c>
      <c r="O12" s="355">
        <f>$E$12-N12</f>
        <v>70826.636440000031</v>
      </c>
      <c r="P12" s="355">
        <f>P9*D12</f>
        <v>3442889.6069999998</v>
      </c>
      <c r="Q12" s="355">
        <f>$E$12-P12</f>
        <v>98443.212000000756</v>
      </c>
      <c r="R12" s="355">
        <f>R9*D12</f>
        <v>3470153.52</v>
      </c>
      <c r="S12" s="355">
        <f>$E$12-R12</f>
        <v>71179.299000000581</v>
      </c>
      <c r="T12" s="355">
        <f>T9*D12</f>
        <v>3480070.74</v>
      </c>
      <c r="U12" s="355">
        <f>$E$12-T12</f>
        <v>61262.079000000376</v>
      </c>
      <c r="V12" s="217">
        <v>3541332.8190000006</v>
      </c>
      <c r="W12" s="355">
        <f>W9*D12</f>
        <v>3459522.5859999997</v>
      </c>
      <c r="X12" s="355">
        <f>$E$12-W12</f>
        <v>81810.233000000939</v>
      </c>
      <c r="Y12" s="355">
        <f>Y9*D12</f>
        <v>3484013.6933999998</v>
      </c>
      <c r="Z12" s="355">
        <f>$E$12-Y12</f>
        <v>57319.125600000843</v>
      </c>
    </row>
    <row r="13" spans="1:26" x14ac:dyDescent="0.25">
      <c r="A13" s="8"/>
      <c r="B13" s="8" t="s">
        <v>133</v>
      </c>
      <c r="C13" s="8"/>
      <c r="D13" s="7">
        <v>0.05</v>
      </c>
      <c r="E13" s="217">
        <v>8853332.0475000013</v>
      </c>
      <c r="F13" s="355">
        <f>F9*D13</f>
        <v>8702412.9000000004</v>
      </c>
      <c r="G13" s="355">
        <f>$E$13-F13</f>
        <v>150919.14750000089</v>
      </c>
      <c r="H13" s="355">
        <f>H9*$D$13</f>
        <v>8678921.4086150005</v>
      </c>
      <c r="I13" s="355">
        <f>$E$13-H13</f>
        <v>174410.63888500072</v>
      </c>
      <c r="J13" s="355">
        <f>J9*D13</f>
        <v>8442016.4000000004</v>
      </c>
      <c r="K13" s="355">
        <f>$E$13-J13</f>
        <v>411315.64750000089</v>
      </c>
      <c r="L13" s="355">
        <f>L9*D13</f>
        <v>8599326.25</v>
      </c>
      <c r="M13" s="355">
        <f>$E$13-L13</f>
        <v>254005.79750000127</v>
      </c>
      <c r="N13" s="355">
        <f>N9*D13</f>
        <v>8676265.4564000014</v>
      </c>
      <c r="O13" s="355">
        <f>$E$13-N13</f>
        <v>177066.59109999985</v>
      </c>
      <c r="P13" s="355">
        <f>P9*D13</f>
        <v>8607224.0175000001</v>
      </c>
      <c r="Q13" s="355">
        <f>$E$13-P13</f>
        <v>246108.03000000119</v>
      </c>
      <c r="R13" s="355">
        <f>R9*D13</f>
        <v>8675383.8000000007</v>
      </c>
      <c r="S13" s="355">
        <f>$E$13-R13</f>
        <v>177948.24750000052</v>
      </c>
      <c r="T13" s="355">
        <f>T9*D13</f>
        <v>8700176.8499999996</v>
      </c>
      <c r="U13" s="355">
        <f>$E$13-T13</f>
        <v>153155.19750000164</v>
      </c>
      <c r="V13" s="217">
        <v>8853332.0475000013</v>
      </c>
      <c r="W13" s="355">
        <f>W9*D13</f>
        <v>8648806.4649999999</v>
      </c>
      <c r="X13" s="355">
        <f>$E$13-W13</f>
        <v>204525.58250000142</v>
      </c>
      <c r="Y13" s="355">
        <f>Y9*D13</f>
        <v>8710034.2335000001</v>
      </c>
      <c r="Z13" s="355">
        <f>$E$13-Y13</f>
        <v>143297.81400000118</v>
      </c>
    </row>
    <row r="14" spans="1:26" x14ac:dyDescent="0.25">
      <c r="A14" s="8"/>
      <c r="B14" s="8" t="s">
        <v>135</v>
      </c>
      <c r="C14" s="8"/>
      <c r="D14" s="7">
        <v>0.19</v>
      </c>
      <c r="E14" s="217">
        <v>1682133.0890250003</v>
      </c>
      <c r="F14" s="355">
        <f>F13*D14</f>
        <v>1653458.4510000001</v>
      </c>
      <c r="G14" s="355">
        <f>$E$14-F14</f>
        <v>28674.638025000226</v>
      </c>
      <c r="H14" s="355">
        <f>H13*$D$14</f>
        <v>1648995.0676368501</v>
      </c>
      <c r="I14" s="355">
        <f>$E$14-H14</f>
        <v>33138.021388150286</v>
      </c>
      <c r="J14" s="355">
        <f>J13*D14</f>
        <v>1603983.1160000002</v>
      </c>
      <c r="K14" s="355">
        <f>$E$14-J14</f>
        <v>78149.973025000188</v>
      </c>
      <c r="L14" s="355">
        <f>L13*D14</f>
        <v>1633871.9875</v>
      </c>
      <c r="M14" s="355">
        <f>$E$14-L14</f>
        <v>48261.101525000297</v>
      </c>
      <c r="N14" s="355">
        <f>N13*D14</f>
        <v>1648490.4367160003</v>
      </c>
      <c r="O14" s="355">
        <f>$E$14-N14</f>
        <v>33642.652309000026</v>
      </c>
      <c r="P14" s="355">
        <f>P13*D14</f>
        <v>1635372.563325</v>
      </c>
      <c r="Q14" s="355">
        <f>$E$14-P14</f>
        <v>46760.525700000348</v>
      </c>
      <c r="R14" s="355">
        <f>R13*D14</f>
        <v>1648322.9220000003</v>
      </c>
      <c r="S14" s="355">
        <f>$E$14-R14</f>
        <v>33810.16702500009</v>
      </c>
      <c r="T14" s="355">
        <f>T13*D14</f>
        <v>1653033.6014999999</v>
      </c>
      <c r="U14" s="355">
        <f>$E$14-T14</f>
        <v>29099.48752500047</v>
      </c>
      <c r="V14" s="217">
        <v>1682133.0890250003</v>
      </c>
      <c r="W14" s="355">
        <f>W13*D14</f>
        <v>1643273.22835</v>
      </c>
      <c r="X14" s="355">
        <f>$E$14-W14</f>
        <v>38859.860675000353</v>
      </c>
      <c r="Y14" s="355">
        <f>Y13*D14</f>
        <v>1654906.5043649999</v>
      </c>
      <c r="Z14" s="355">
        <f>$E$14-Y14</f>
        <v>27226.584660000401</v>
      </c>
    </row>
    <row r="15" spans="1:26" s="16" customFormat="1" x14ac:dyDescent="0.25">
      <c r="A15" s="13"/>
      <c r="B15" s="439" t="s">
        <v>129</v>
      </c>
      <c r="C15" s="439"/>
      <c r="D15" s="439"/>
      <c r="E15" s="354">
        <f>SUM(E11:E14)</f>
        <v>37095461.279025003</v>
      </c>
      <c r="F15" s="356">
        <f>SUM(F11:F14)</f>
        <v>36463110.050999999</v>
      </c>
      <c r="G15" s="356">
        <f>$E$15-F15</f>
        <v>632351.22802500427</v>
      </c>
      <c r="H15" s="356">
        <f>SUM(H11:H14)</f>
        <v>36364680.70209685</v>
      </c>
      <c r="I15" s="356">
        <f>$E$15-H15</f>
        <v>730780.57692815363</v>
      </c>
      <c r="J15" s="362">
        <f>SUM(J11:J14)</f>
        <v>35372048.715999998</v>
      </c>
      <c r="K15" s="356">
        <f>$E$15-J15</f>
        <v>1723412.5630250052</v>
      </c>
      <c r="L15" s="356">
        <f>SUM(L11:L14)</f>
        <v>36031176.987499997</v>
      </c>
      <c r="M15" s="356">
        <f>$E$15-L15</f>
        <v>1064284.2915250063</v>
      </c>
      <c r="N15" s="362">
        <f>SUM(N11:N14)</f>
        <v>36353552.262316003</v>
      </c>
      <c r="O15" s="356">
        <f>$E$15-N15</f>
        <v>741909.01670899987</v>
      </c>
      <c r="P15" s="356">
        <f>SUM(P11:P14)</f>
        <v>36064268.633325003</v>
      </c>
      <c r="Q15" s="356">
        <f>$E$15-P15</f>
        <v>1031192.6457000002</v>
      </c>
      <c r="R15" s="362">
        <f>SUM(R11:R14)</f>
        <v>36349858.122000001</v>
      </c>
      <c r="S15" s="356">
        <f>$E$15-R15</f>
        <v>745603.15702500194</v>
      </c>
      <c r="T15" s="362">
        <f>SUM(T11:T14)</f>
        <v>36453741.001500003</v>
      </c>
      <c r="U15" s="356">
        <f>$E$15-T15</f>
        <v>641720.27752500027</v>
      </c>
      <c r="V15" s="354">
        <f>SUM(V11:V14)</f>
        <v>37095461.279025003</v>
      </c>
      <c r="W15" s="362">
        <f>SUM(W11:W14)</f>
        <v>36238499.088349998</v>
      </c>
      <c r="X15" s="356">
        <f>$E$15-W15</f>
        <v>856962.19067500532</v>
      </c>
      <c r="Y15" s="362">
        <f>SUM(Y11:Y14)</f>
        <v>36495043.438364998</v>
      </c>
      <c r="Z15" s="356">
        <f>$E$15-Y15</f>
        <v>600417.84066000581</v>
      </c>
    </row>
    <row r="16" spans="1:26" s="17" customFormat="1" ht="16.5" x14ac:dyDescent="0.25">
      <c r="A16" s="441" t="s">
        <v>130</v>
      </c>
      <c r="B16" s="441"/>
      <c r="C16" s="441"/>
      <c r="D16" s="441"/>
      <c r="E16" s="18">
        <f>E9+E15</f>
        <v>214162102.22902501</v>
      </c>
      <c r="F16" s="361">
        <f>F9+F15</f>
        <v>210511368.051</v>
      </c>
      <c r="G16" s="357">
        <f>$E$16-F16</f>
        <v>3650734.1780250072</v>
      </c>
      <c r="H16" s="361">
        <f>H9+H15</f>
        <v>209943108.87439686</v>
      </c>
      <c r="I16" s="357">
        <f>$E$16-H16</f>
        <v>4218993.3546281457</v>
      </c>
      <c r="J16" s="361">
        <f>J9+J15</f>
        <v>204212376.71599999</v>
      </c>
      <c r="K16" s="357">
        <f>$E$16-J16</f>
        <v>9949725.5130250156</v>
      </c>
      <c r="L16" s="361">
        <f>L9+L15</f>
        <v>208017701.98750001</v>
      </c>
      <c r="M16" s="357">
        <f>$E$16-L16</f>
        <v>6144400.2415249944</v>
      </c>
      <c r="N16" s="361">
        <f>N9+N15</f>
        <v>209878861.39031601</v>
      </c>
      <c r="O16" s="357">
        <f>$E$16-N16</f>
        <v>4283240.8387089968</v>
      </c>
      <c r="P16" s="357">
        <f>P9+P15</f>
        <v>208208748.983325</v>
      </c>
      <c r="Q16" s="357">
        <f>$E$16-P16</f>
        <v>5953353.2457000017</v>
      </c>
      <c r="R16" s="361">
        <f>R9+R15</f>
        <v>209857534.12200001</v>
      </c>
      <c r="S16" s="357">
        <f>$E$16-R16</f>
        <v>4304568.1070249975</v>
      </c>
      <c r="T16" s="361">
        <f>T9+T15</f>
        <v>210457278.00150001</v>
      </c>
      <c r="U16" s="357">
        <f>$E$16-T16</f>
        <v>3704824.2275249958</v>
      </c>
      <c r="V16" s="18">
        <f>V9+V15</f>
        <v>214162102.22902501</v>
      </c>
      <c r="W16" s="361">
        <f>W9+W15</f>
        <v>209214628.38834998</v>
      </c>
      <c r="X16" s="357">
        <f>$E$16-W16</f>
        <v>4947473.8406750262</v>
      </c>
      <c r="Y16" s="361">
        <f>Y9+Y15</f>
        <v>210695728.108365</v>
      </c>
      <c r="Z16" s="357">
        <f>$E$16-Y16</f>
        <v>3466374.120660007</v>
      </c>
    </row>
    <row r="17" spans="1:26" x14ac:dyDescent="0.25">
      <c r="F17" s="23"/>
      <c r="H17" s="23"/>
      <c r="J17" s="23"/>
      <c r="L17" s="23"/>
      <c r="N17" s="23"/>
      <c r="P17" s="23"/>
      <c r="R17" s="23"/>
      <c r="T17" s="23"/>
      <c r="W17" s="23"/>
      <c r="Y17" s="23"/>
    </row>
    <row r="18" spans="1:26" x14ac:dyDescent="0.25">
      <c r="F18" s="23"/>
      <c r="H18" s="23"/>
      <c r="J18" s="23"/>
      <c r="L18" s="23"/>
      <c r="N18" s="23"/>
      <c r="P18" s="23"/>
      <c r="R18" s="23"/>
      <c r="T18" s="23"/>
      <c r="W18" s="23"/>
      <c r="Y18" s="23"/>
    </row>
    <row r="19" spans="1:26" ht="40.5" x14ac:dyDescent="0.25">
      <c r="A19" s="11" t="s">
        <v>127</v>
      </c>
      <c r="B19" s="12" t="s">
        <v>7</v>
      </c>
      <c r="C19" s="12" t="s">
        <v>4</v>
      </c>
      <c r="D19" s="12" t="s">
        <v>138</v>
      </c>
      <c r="E19" s="14" t="s">
        <v>137</v>
      </c>
      <c r="F19" s="12" t="str">
        <f>F1</f>
        <v>CONSORCIO ADECUACIÓN FISCALIA</v>
      </c>
      <c r="G19" s="12" t="s">
        <v>271</v>
      </c>
      <c r="H19" s="12" t="str">
        <f>H1</f>
        <v>ANGGY NICOLS ACOSTA VELA</v>
      </c>
      <c r="I19" s="12" t="s">
        <v>271</v>
      </c>
      <c r="J19" s="12" t="str">
        <f>J1</f>
        <v>CONSORCIO OBRAS BATARQ</v>
      </c>
      <c r="K19" s="12" t="s">
        <v>271</v>
      </c>
      <c r="L19" s="12" t="str">
        <f>L1</f>
        <v>CONSORCIO PROYECTO -7</v>
      </c>
      <c r="M19" s="12" t="s">
        <v>271</v>
      </c>
      <c r="N19" s="12" t="str">
        <f>N1</f>
        <v>CONSORCIO A&amp;C</v>
      </c>
      <c r="O19" s="12" t="s">
        <v>271</v>
      </c>
      <c r="P19" s="12" t="str">
        <f>P1</f>
        <v>CONSORCIO OBRAS MR</v>
      </c>
      <c r="Q19" s="12" t="s">
        <v>271</v>
      </c>
      <c r="R19" s="12" t="str">
        <f>R1</f>
        <v>Construcciones AMG SAS</v>
      </c>
      <c r="S19" s="12" t="s">
        <v>271</v>
      </c>
      <c r="T19" s="12" t="str">
        <f>T1</f>
        <v>COINCO</v>
      </c>
      <c r="U19" s="12" t="s">
        <v>271</v>
      </c>
      <c r="V19" s="14" t="s">
        <v>137</v>
      </c>
      <c r="W19" s="12" t="str">
        <f>W1</f>
        <v>CONSORCIO ALIANZA CONSTRUIR</v>
      </c>
      <c r="X19" s="12" t="s">
        <v>271</v>
      </c>
      <c r="Y19" s="12" t="str">
        <f>Y1</f>
        <v>CONSORCIO MANTENIMIENTO T-G-B</v>
      </c>
      <c r="Z19" s="12" t="s">
        <v>271</v>
      </c>
    </row>
    <row r="20" spans="1:26" x14ac:dyDescent="0.25">
      <c r="A20" s="216">
        <v>1</v>
      </c>
      <c r="B20" s="5" t="s">
        <v>163</v>
      </c>
      <c r="C20" s="6" t="s">
        <v>4</v>
      </c>
      <c r="D20" s="3">
        <v>1</v>
      </c>
      <c r="E20" s="217">
        <v>1735185.7000000002</v>
      </c>
      <c r="F20" s="355">
        <v>1707946</v>
      </c>
      <c r="G20" s="355">
        <f>$E$20-F20</f>
        <v>27239.700000000186</v>
      </c>
      <c r="H20" s="355">
        <v>1701005.7767000003</v>
      </c>
      <c r="I20" s="355">
        <f>$E$20-H20</f>
        <v>34179.923299999908</v>
      </c>
      <c r="J20" s="355">
        <v>1651500</v>
      </c>
      <c r="K20" s="355">
        <f>$E$20-J20</f>
        <v>83685.700000000186</v>
      </c>
      <c r="L20" s="355">
        <v>1685404</v>
      </c>
      <c r="M20" s="355">
        <f>$E$20-L20</f>
        <v>49781.700000000186</v>
      </c>
      <c r="N20" s="355">
        <v>1698853</v>
      </c>
      <c r="O20" s="355">
        <f>$E$20-N20</f>
        <v>36332.700000000186</v>
      </c>
      <c r="P20" s="355">
        <v>1686947</v>
      </c>
      <c r="Q20" s="355">
        <f>$E$20-P20</f>
        <v>48238.700000000186</v>
      </c>
      <c r="R20" s="355">
        <v>1700316</v>
      </c>
      <c r="S20" s="355">
        <f>$E$20-R20</f>
        <v>34869.700000000186</v>
      </c>
      <c r="T20" s="355">
        <v>1705165</v>
      </c>
      <c r="U20" s="355">
        <f>$E$20-T20</f>
        <v>30020.700000000186</v>
      </c>
      <c r="V20" s="217">
        <v>1735185.7000000002</v>
      </c>
      <c r="W20" s="355">
        <v>1695106</v>
      </c>
      <c r="X20" s="355">
        <f>$E$20-W20</f>
        <v>40079.700000000186</v>
      </c>
      <c r="Y20" s="355">
        <v>1707106</v>
      </c>
      <c r="Z20" s="355">
        <f>$E$20-Y20</f>
        <v>28079.700000000186</v>
      </c>
    </row>
    <row r="21" spans="1:26" x14ac:dyDescent="0.25">
      <c r="A21" s="216">
        <v>2</v>
      </c>
      <c r="B21" s="5" t="s">
        <v>164</v>
      </c>
      <c r="C21" s="6" t="s">
        <v>4</v>
      </c>
      <c r="D21" s="3">
        <v>1</v>
      </c>
      <c r="E21" s="217">
        <v>2304172.5</v>
      </c>
      <c r="F21" s="355">
        <v>2267998</v>
      </c>
      <c r="G21" s="355">
        <f>$E$21-F21</f>
        <v>36174.5</v>
      </c>
      <c r="H21" s="355">
        <v>2258780.7919000001</v>
      </c>
      <c r="I21" s="355">
        <f>$E$21-H21</f>
        <v>45391.708099999931</v>
      </c>
      <c r="J21" s="355">
        <v>2197700</v>
      </c>
      <c r="K21" s="355">
        <f>$E$21-J21</f>
        <v>106472.5</v>
      </c>
      <c r="L21" s="355">
        <v>2238067</v>
      </c>
      <c r="M21" s="355">
        <f>$E$21-L21</f>
        <v>66105.5</v>
      </c>
      <c r="N21" s="355">
        <v>2255786</v>
      </c>
      <c r="O21" s="355">
        <f>$E$21-N21</f>
        <v>48386.5</v>
      </c>
      <c r="P21" s="355">
        <v>2240116</v>
      </c>
      <c r="Q21" s="355">
        <f>$E$21-P21</f>
        <v>64056.5</v>
      </c>
      <c r="R21" s="355">
        <v>2257859</v>
      </c>
      <c r="S21" s="355">
        <f>$E$21-R21</f>
        <v>46313.5</v>
      </c>
      <c r="T21" s="355">
        <v>2264312</v>
      </c>
      <c r="U21" s="355">
        <f>$E$21-T21</f>
        <v>39860.5</v>
      </c>
      <c r="V21" s="217">
        <v>2304172.5</v>
      </c>
      <c r="W21" s="355">
        <v>2250946</v>
      </c>
      <c r="X21" s="355">
        <f>$E$21-W21</f>
        <v>53226.5</v>
      </c>
      <c r="Y21" s="355">
        <v>2266880</v>
      </c>
      <c r="Z21" s="355">
        <f>$E$21-Y21</f>
        <v>37292.5</v>
      </c>
    </row>
    <row r="22" spans="1:26" x14ac:dyDescent="0.25">
      <c r="A22" s="216">
        <v>3</v>
      </c>
      <c r="B22" s="5" t="s">
        <v>167</v>
      </c>
      <c r="C22" s="6" t="s">
        <v>4</v>
      </c>
      <c r="D22" s="3">
        <v>1</v>
      </c>
      <c r="E22" s="217">
        <v>154385.60000000001</v>
      </c>
      <c r="F22" s="355">
        <v>151961</v>
      </c>
      <c r="G22" s="355">
        <f>$E$22-F22</f>
        <v>2424.6000000000058</v>
      </c>
      <c r="H22" s="355">
        <v>151343.61550000001</v>
      </c>
      <c r="I22" s="355">
        <f>$E$22-H22</f>
        <v>3041.9844999999914</v>
      </c>
      <c r="J22" s="355">
        <v>147100</v>
      </c>
      <c r="K22" s="355">
        <f>$E$22-J22</f>
        <v>7285.6000000000058</v>
      </c>
      <c r="L22" s="355">
        <v>149956</v>
      </c>
      <c r="M22" s="355">
        <f>$E$22-L22</f>
        <v>4429.6000000000058</v>
      </c>
      <c r="N22" s="355">
        <v>151143</v>
      </c>
      <c r="O22" s="355">
        <f>$E$22-N22</f>
        <v>3242.6000000000058</v>
      </c>
      <c r="P22" s="355">
        <v>150092</v>
      </c>
      <c r="Q22" s="355">
        <f>$E$22-P22</f>
        <v>4293.6000000000058</v>
      </c>
      <c r="R22" s="355">
        <v>151282</v>
      </c>
      <c r="S22" s="355">
        <f>$E$22-R22</f>
        <v>3103.6000000000058</v>
      </c>
      <c r="T22" s="355">
        <v>151714</v>
      </c>
      <c r="U22" s="355">
        <f>$E$22-T22</f>
        <v>2671.6000000000058</v>
      </c>
      <c r="V22" s="217">
        <v>154385.60000000001</v>
      </c>
      <c r="W22" s="355">
        <v>150818</v>
      </c>
      <c r="X22" s="355">
        <f>$E$22-W22</f>
        <v>3567.6000000000058</v>
      </c>
      <c r="Y22" s="355">
        <v>151886</v>
      </c>
      <c r="Z22" s="355">
        <f>$E$22-Y22</f>
        <v>2499.6000000000058</v>
      </c>
    </row>
    <row r="23" spans="1:26" x14ac:dyDescent="0.25">
      <c r="A23" s="216">
        <v>4</v>
      </c>
      <c r="B23" s="5" t="s">
        <v>169</v>
      </c>
      <c r="C23" s="6" t="s">
        <v>4</v>
      </c>
      <c r="D23" s="3">
        <v>1</v>
      </c>
      <c r="E23" s="217">
        <v>170031.065</v>
      </c>
      <c r="F23" s="355">
        <v>167362</v>
      </c>
      <c r="G23" s="355">
        <f>$E$23-F23</f>
        <v>2669.0650000000023</v>
      </c>
      <c r="H23" s="355">
        <v>166681.38929999998</v>
      </c>
      <c r="I23" s="355">
        <f>$E$23-H23</f>
        <v>3349.6757000000216</v>
      </c>
      <c r="J23" s="355">
        <v>161900</v>
      </c>
      <c r="K23" s="355">
        <f>$E$23-J23</f>
        <v>8131.0650000000023</v>
      </c>
      <c r="L23" s="355">
        <v>165152</v>
      </c>
      <c r="M23" s="355">
        <f>$E$23-L23</f>
        <v>4879.0650000000023</v>
      </c>
      <c r="N23" s="355">
        <v>166460</v>
      </c>
      <c r="O23" s="355">
        <f>$E$23-N23</f>
        <v>3571.0650000000023</v>
      </c>
      <c r="P23" s="355">
        <v>165304</v>
      </c>
      <c r="Q23" s="355">
        <f>$E$23-P23</f>
        <v>4727.0650000000023</v>
      </c>
      <c r="R23" s="355">
        <v>166612</v>
      </c>
      <c r="S23" s="355">
        <f>$E$23-R23</f>
        <v>3419.0650000000023</v>
      </c>
      <c r="T23" s="355">
        <v>167089</v>
      </c>
      <c r="U23" s="355">
        <f>$E$23-T23</f>
        <v>2942.0650000000023</v>
      </c>
      <c r="V23" s="217">
        <v>170031.065</v>
      </c>
      <c r="W23" s="355">
        <v>166103</v>
      </c>
      <c r="X23" s="355">
        <f>$E$23-W23</f>
        <v>3928.0650000000023</v>
      </c>
      <c r="Y23" s="355">
        <v>167278</v>
      </c>
      <c r="Z23" s="355">
        <f>$E$23-Y23</f>
        <v>2753.0650000000023</v>
      </c>
    </row>
    <row r="24" spans="1:26" x14ac:dyDescent="0.25">
      <c r="A24" s="216">
        <v>5</v>
      </c>
      <c r="B24" s="5" t="s">
        <v>185</v>
      </c>
      <c r="C24" s="6" t="s">
        <v>4</v>
      </c>
      <c r="D24" s="3">
        <v>1</v>
      </c>
      <c r="E24" s="217">
        <v>2993035.75</v>
      </c>
      <c r="F24" s="355">
        <v>2946044</v>
      </c>
      <c r="G24" s="355">
        <f>$E$24-F24</f>
        <v>46991.75</v>
      </c>
      <c r="H24" s="355">
        <v>2934075.1513999994</v>
      </c>
      <c r="I24" s="355">
        <f>$E$24-H24</f>
        <v>58960.598600000609</v>
      </c>
      <c r="J24" s="355">
        <v>2853400</v>
      </c>
      <c r="K24" s="355">
        <f>$E$24-J24</f>
        <v>139635.75</v>
      </c>
      <c r="L24" s="355">
        <v>2907169</v>
      </c>
      <c r="M24" s="355">
        <f>$E$24-L24</f>
        <v>85866.75</v>
      </c>
      <c r="N24" s="355">
        <v>2930182</v>
      </c>
      <c r="O24" s="355">
        <f>$E$24-N24</f>
        <v>62853.75</v>
      </c>
      <c r="P24" s="355">
        <v>2909829</v>
      </c>
      <c r="Q24" s="355">
        <f>$E$24-P24</f>
        <v>83206.75</v>
      </c>
      <c r="R24" s="355">
        <v>2932874</v>
      </c>
      <c r="S24" s="355">
        <f>$E$24-R24</f>
        <v>60161.75</v>
      </c>
      <c r="T24" s="355">
        <v>2941259</v>
      </c>
      <c r="U24" s="355">
        <f>$E$24-T24</f>
        <v>51776.75</v>
      </c>
      <c r="V24" s="217">
        <v>2993035.75</v>
      </c>
      <c r="W24" s="355">
        <v>2923897</v>
      </c>
      <c r="X24" s="355">
        <f>$E$24-W24</f>
        <v>69138.75</v>
      </c>
      <c r="Y24" s="355">
        <v>2944596</v>
      </c>
      <c r="Z24" s="355">
        <f>$E$24-Y24</f>
        <v>48439.75</v>
      </c>
    </row>
    <row r="25" spans="1:26" ht="27" x14ac:dyDescent="0.25">
      <c r="A25" s="216">
        <v>6</v>
      </c>
      <c r="B25" s="5" t="s">
        <v>201</v>
      </c>
      <c r="C25" s="6" t="s">
        <v>4</v>
      </c>
      <c r="D25" s="3">
        <v>1</v>
      </c>
      <c r="E25" s="217">
        <v>8807702.4499999993</v>
      </c>
      <c r="F25" s="355">
        <v>8669423</v>
      </c>
      <c r="G25" s="355">
        <f>$E$25-F25</f>
        <v>138279.44999999925</v>
      </c>
      <c r="H25" s="355">
        <v>8634193.2115000002</v>
      </c>
      <c r="I25" s="355">
        <f>$E$25-H25</f>
        <v>173509.23849999905</v>
      </c>
      <c r="J25" s="355">
        <v>8400500</v>
      </c>
      <c r="K25" s="355">
        <f>$E$25-J25</f>
        <v>407202.44999999925</v>
      </c>
      <c r="L25" s="355">
        <v>8555012</v>
      </c>
      <c r="M25" s="355">
        <f>$E$25-L25</f>
        <v>252690.44999999925</v>
      </c>
      <c r="N25" s="355">
        <v>8676729</v>
      </c>
      <c r="O25" s="355">
        <f>$E$25-N25</f>
        <v>130973.44999999925</v>
      </c>
      <c r="P25" s="355">
        <v>8562851</v>
      </c>
      <c r="Q25" s="355">
        <f>$E$25-P25</f>
        <v>244851.44999999925</v>
      </c>
      <c r="R25" s="355">
        <v>8630670</v>
      </c>
      <c r="S25" s="355">
        <f>$E$25-R25</f>
        <v>177032.44999999925</v>
      </c>
      <c r="T25" s="355">
        <v>8655330</v>
      </c>
      <c r="U25" s="355">
        <f>$E$25-T25</f>
        <v>152372.44999999925</v>
      </c>
      <c r="V25" s="217">
        <v>8807702.4499999993</v>
      </c>
      <c r="W25" s="355">
        <v>8604247</v>
      </c>
      <c r="X25" s="355">
        <f>$E$25-W25</f>
        <v>203455.44999999925</v>
      </c>
      <c r="Y25" s="355">
        <v>8665153</v>
      </c>
      <c r="Z25" s="355">
        <f>$E$25-Y25</f>
        <v>142549.44999999925</v>
      </c>
    </row>
    <row r="26" spans="1:26" ht="27" x14ac:dyDescent="0.25">
      <c r="A26" s="216">
        <v>7</v>
      </c>
      <c r="B26" s="5" t="s">
        <v>367</v>
      </c>
      <c r="C26" s="6" t="s">
        <v>4</v>
      </c>
      <c r="D26" s="3">
        <v>1</v>
      </c>
      <c r="E26" s="217">
        <v>1620701.3000000003</v>
      </c>
      <c r="F26" s="355">
        <v>1595257</v>
      </c>
      <c r="G26" s="355">
        <f>$E$26-F26</f>
        <v>25444.300000000279</v>
      </c>
      <c r="H26" s="355">
        <v>1588773.1902999997</v>
      </c>
      <c r="I26" s="355">
        <f>$E$26-H26</f>
        <v>31928.109700000612</v>
      </c>
      <c r="J26" s="355">
        <v>1544300</v>
      </c>
      <c r="K26" s="355">
        <f>$E$26-J26</f>
        <v>76401.300000000279</v>
      </c>
      <c r="L26" s="355">
        <v>1574202</v>
      </c>
      <c r="M26" s="355">
        <f>$E$26-L26</f>
        <v>46499.300000000279</v>
      </c>
      <c r="N26" s="355">
        <v>1619080</v>
      </c>
      <c r="O26" s="355">
        <f>$E$26-N26</f>
        <v>1621.3000000002794</v>
      </c>
      <c r="P26" s="355">
        <v>1575647</v>
      </c>
      <c r="Q26" s="355">
        <f>$E$26-P26</f>
        <v>45054.300000000279</v>
      </c>
      <c r="R26" s="355">
        <v>1588124</v>
      </c>
      <c r="S26" s="355">
        <f>$E$26-R26</f>
        <v>32577.300000000279</v>
      </c>
      <c r="T26" s="355">
        <v>1592665</v>
      </c>
      <c r="U26" s="355">
        <f>$E$26-T26</f>
        <v>28036.300000000279</v>
      </c>
      <c r="V26" s="217">
        <v>1620701.3</v>
      </c>
      <c r="W26" s="355">
        <v>1583264</v>
      </c>
      <c r="X26" s="355">
        <f>$E$26-W26</f>
        <v>37437.300000000279</v>
      </c>
      <c r="Y26" s="355">
        <v>1594468</v>
      </c>
      <c r="Z26" s="355">
        <f>$E$26-Y26</f>
        <v>26233.300000000279</v>
      </c>
    </row>
    <row r="27" spans="1:26" x14ac:dyDescent="0.25">
      <c r="A27" s="216">
        <v>8</v>
      </c>
      <c r="B27" s="4" t="s">
        <v>216</v>
      </c>
      <c r="C27" s="6" t="s">
        <v>4</v>
      </c>
      <c r="D27" s="3">
        <v>1</v>
      </c>
      <c r="E27" s="217">
        <v>892909.04999999993</v>
      </c>
      <c r="F27" s="355">
        <v>878892</v>
      </c>
      <c r="G27" s="355">
        <f>$E$27-F27</f>
        <v>14017.04999999993</v>
      </c>
      <c r="H27" s="355">
        <v>875318.69270000013</v>
      </c>
      <c r="I27" s="355">
        <f>$E$27-H27</f>
        <v>17590.3572999998</v>
      </c>
      <c r="J27" s="355">
        <v>851100</v>
      </c>
      <c r="K27" s="355">
        <f>$E$27-J27</f>
        <v>41809.04999999993</v>
      </c>
      <c r="L27" s="355">
        <v>867291</v>
      </c>
      <c r="M27" s="355">
        <f>$E$27-L27</f>
        <v>25618.04999999993</v>
      </c>
      <c r="N27" s="355">
        <v>875053</v>
      </c>
      <c r="O27" s="355">
        <f>$E$27-N27</f>
        <v>17856.04999999993</v>
      </c>
      <c r="P27" s="355">
        <v>868087</v>
      </c>
      <c r="Q27" s="355">
        <f>$E$27-P27</f>
        <v>24822.04999999993</v>
      </c>
      <c r="R27" s="355">
        <v>874963</v>
      </c>
      <c r="S27" s="355">
        <f>$E$27-R27</f>
        <v>17946.04999999993</v>
      </c>
      <c r="T27" s="355">
        <v>877461</v>
      </c>
      <c r="U27" s="355">
        <f>$E$27-T27</f>
        <v>15448.04999999993</v>
      </c>
      <c r="V27" s="217">
        <v>892909.04999999993</v>
      </c>
      <c r="W27" s="355">
        <v>872284</v>
      </c>
      <c r="X27" s="355">
        <f>$E$27-W27</f>
        <v>20625.04999999993</v>
      </c>
      <c r="Y27" s="355">
        <v>878460</v>
      </c>
      <c r="Z27" s="355">
        <f>$E$27-Y27</f>
        <v>14449.04999999993</v>
      </c>
    </row>
    <row r="28" spans="1:26" ht="27" x14ac:dyDescent="0.25">
      <c r="A28" s="216">
        <v>9</v>
      </c>
      <c r="B28" s="4" t="s">
        <v>241</v>
      </c>
      <c r="C28" s="6" t="s">
        <v>4</v>
      </c>
      <c r="D28" s="3">
        <v>1</v>
      </c>
      <c r="E28" s="217">
        <v>8239266.8000000007</v>
      </c>
      <c r="F28" s="355">
        <v>8109914</v>
      </c>
      <c r="G28" s="355">
        <f>$E$28-F28</f>
        <v>129352.80000000075</v>
      </c>
      <c r="H28" s="355">
        <v>8076957.3612999981</v>
      </c>
      <c r="I28" s="355">
        <f>$E$28-H28</f>
        <v>162309.43870000262</v>
      </c>
      <c r="J28" s="355">
        <v>7856600</v>
      </c>
      <c r="K28" s="355">
        <f>$E$28-J28</f>
        <v>382666.80000000075</v>
      </c>
      <c r="L28" s="355">
        <v>8002888</v>
      </c>
      <c r="M28" s="355">
        <f>$E$28-L28</f>
        <v>236378.80000000075</v>
      </c>
      <c r="N28" s="355">
        <v>8155978</v>
      </c>
      <c r="O28" s="355">
        <f>$E$28-N28</f>
        <v>83288.800000000745</v>
      </c>
      <c r="P28" s="355">
        <v>8010215</v>
      </c>
      <c r="Q28" s="355">
        <f>$E$28-P28</f>
        <v>229051.80000000075</v>
      </c>
      <c r="R28" s="355">
        <v>8073662</v>
      </c>
      <c r="S28" s="355">
        <f>$E$28-R28</f>
        <v>165604.80000000075</v>
      </c>
      <c r="T28" s="355">
        <v>8096734</v>
      </c>
      <c r="U28" s="355">
        <f>$E$28-T28</f>
        <v>142532.80000000075</v>
      </c>
      <c r="V28" s="217">
        <v>8239266.8000000007</v>
      </c>
      <c r="W28" s="355">
        <v>8048943</v>
      </c>
      <c r="X28" s="355">
        <f>$E$28-W28</f>
        <v>190323.80000000075</v>
      </c>
      <c r="Y28" s="355">
        <v>8105918</v>
      </c>
      <c r="Z28" s="355">
        <f>$E$28-Y28</f>
        <v>133348.80000000075</v>
      </c>
    </row>
    <row r="29" spans="1:26" ht="27" x14ac:dyDescent="0.25">
      <c r="A29" s="216">
        <v>10</v>
      </c>
      <c r="B29" s="4" t="s">
        <v>252</v>
      </c>
      <c r="C29" s="6" t="s">
        <v>4</v>
      </c>
      <c r="D29" s="3">
        <v>1</v>
      </c>
      <c r="E29" s="217">
        <v>7372103.9999999991</v>
      </c>
      <c r="F29" s="355">
        <v>7256369</v>
      </c>
      <c r="G29" s="355">
        <f>$E$29-F29</f>
        <v>115734.99999999907</v>
      </c>
      <c r="H29" s="355">
        <v>7226876.4920999985</v>
      </c>
      <c r="I29" s="355">
        <f>$E$29-H29</f>
        <v>145227.50790000055</v>
      </c>
      <c r="J29" s="355">
        <v>7030500</v>
      </c>
      <c r="K29" s="355">
        <f>$E$29-J29</f>
        <v>341603.99999999907</v>
      </c>
      <c r="L29" s="355">
        <v>7160602</v>
      </c>
      <c r="M29" s="355">
        <f>$E$29-L29</f>
        <v>211501.99999999907</v>
      </c>
      <c r="N29" s="355">
        <v>7298386</v>
      </c>
      <c r="O29" s="355">
        <f>$E$29-N29</f>
        <v>73717.999999999069</v>
      </c>
      <c r="P29" s="355">
        <v>7167163</v>
      </c>
      <c r="Q29" s="355">
        <f>$E$29-P29</f>
        <v>204940.99999999907</v>
      </c>
      <c r="R29" s="355">
        <v>7223928</v>
      </c>
      <c r="S29" s="355">
        <f>$E$29-R29</f>
        <v>148175.99999999907</v>
      </c>
      <c r="T29" s="355">
        <v>7244573</v>
      </c>
      <c r="U29" s="355">
        <f>$E$29-T29</f>
        <v>127530.99999999907</v>
      </c>
      <c r="V29" s="217">
        <v>7372103.9999999991</v>
      </c>
      <c r="W29" s="355">
        <v>7201811</v>
      </c>
      <c r="X29" s="355">
        <f>$E$29-W29</f>
        <v>170292.99999999907</v>
      </c>
      <c r="Y29" s="355">
        <v>7252791</v>
      </c>
      <c r="Z29" s="355">
        <f>$E$29-Y29</f>
        <v>119312.99999999907</v>
      </c>
    </row>
    <row r="30" spans="1:26" x14ac:dyDescent="0.25">
      <c r="A30" s="216">
        <v>11</v>
      </c>
      <c r="B30" s="5" t="s">
        <v>258</v>
      </c>
      <c r="C30" s="6" t="s">
        <v>4</v>
      </c>
      <c r="D30" s="3">
        <v>1</v>
      </c>
      <c r="E30" s="217">
        <v>3498106.95</v>
      </c>
      <c r="F30" s="355">
        <v>3443186</v>
      </c>
      <c r="G30" s="355">
        <f>$E$30-F30</f>
        <v>54920.950000000186</v>
      </c>
      <c r="H30" s="355">
        <v>3429194.2920999997</v>
      </c>
      <c r="I30" s="355">
        <f>$E$30-H30</f>
        <v>68912.657900000457</v>
      </c>
      <c r="J30" s="355">
        <v>3336500</v>
      </c>
      <c r="K30" s="355">
        <f>$E$30-J30</f>
        <v>161606.95000000019</v>
      </c>
      <c r="L30" s="355">
        <v>3397746</v>
      </c>
      <c r="M30" s="355">
        <f>$E$30-L30</f>
        <v>100360.95000000019</v>
      </c>
      <c r="N30" s="355">
        <v>3494609</v>
      </c>
      <c r="O30" s="355">
        <f>$E$30-N30</f>
        <v>3497.9500000001863</v>
      </c>
      <c r="P30" s="355">
        <v>3400859</v>
      </c>
      <c r="Q30" s="355">
        <f>$E$30-P30</f>
        <v>97247.950000000186</v>
      </c>
      <c r="R30" s="355">
        <v>3427796</v>
      </c>
      <c r="S30" s="355">
        <f>$E$30-R30</f>
        <v>70310.950000000186</v>
      </c>
      <c r="T30" s="355">
        <v>3437591</v>
      </c>
      <c r="U30" s="355">
        <f>$E$30-T30</f>
        <v>60515.950000000186</v>
      </c>
      <c r="V30" s="217">
        <v>3498106.95</v>
      </c>
      <c r="W30" s="355">
        <v>3417301</v>
      </c>
      <c r="X30" s="355">
        <f>$E$30-W30</f>
        <v>80805.950000000186</v>
      </c>
      <c r="Y30" s="355">
        <v>3441490</v>
      </c>
      <c r="Z30" s="355">
        <f>$E$30-Y30</f>
        <v>56616.950000000186</v>
      </c>
    </row>
    <row r="31" spans="1:26" ht="27" x14ac:dyDescent="0.25">
      <c r="A31" s="216">
        <v>12</v>
      </c>
      <c r="B31" s="5" t="s">
        <v>262</v>
      </c>
      <c r="C31" s="6" t="s">
        <v>4</v>
      </c>
      <c r="D31" s="3">
        <v>1</v>
      </c>
      <c r="E31" s="217">
        <v>217729.05000000002</v>
      </c>
      <c r="F31" s="355">
        <v>214311</v>
      </c>
      <c r="G31" s="355">
        <f>$E$31-F31</f>
        <v>3418.0500000000175</v>
      </c>
      <c r="H31" s="355">
        <v>213438.75839999999</v>
      </c>
      <c r="I31" s="355">
        <f>$E$31-H31</f>
        <v>4290.2916000000259</v>
      </c>
      <c r="J31" s="355">
        <v>207200</v>
      </c>
      <c r="K31" s="355">
        <f>$E$31-J31</f>
        <v>10529.050000000017</v>
      </c>
      <c r="L31" s="355">
        <v>211481</v>
      </c>
      <c r="M31" s="355">
        <f>$E$31-L31</f>
        <v>6248.0500000000175</v>
      </c>
      <c r="N31" s="355">
        <v>217511</v>
      </c>
      <c r="O31" s="355">
        <f>$E$31-N31</f>
        <v>218.05000000001746</v>
      </c>
      <c r="P31" s="355">
        <v>211675</v>
      </c>
      <c r="Q31" s="355">
        <f>$E$31-P31</f>
        <v>6054.0500000000175</v>
      </c>
      <c r="R31" s="355">
        <v>213352</v>
      </c>
      <c r="S31" s="355">
        <f>$E$31-R31</f>
        <v>4377.0500000000175</v>
      </c>
      <c r="T31" s="355">
        <v>213961</v>
      </c>
      <c r="U31" s="355">
        <f>$E$31-T31</f>
        <v>3768.0500000000175</v>
      </c>
      <c r="V31" s="217">
        <v>217729.05000000002</v>
      </c>
      <c r="W31" s="355">
        <v>212698</v>
      </c>
      <c r="X31" s="355">
        <f>$E$31-W31</f>
        <v>5031.0500000000175</v>
      </c>
      <c r="Y31" s="355">
        <v>214205</v>
      </c>
      <c r="Z31" s="355">
        <f>$E$31-Y31</f>
        <v>3524.0500000000175</v>
      </c>
    </row>
    <row r="32" spans="1:26" x14ac:dyDescent="0.25">
      <c r="A32" s="439" t="s">
        <v>128</v>
      </c>
      <c r="B32" s="439"/>
      <c r="C32" s="439"/>
      <c r="D32" s="439"/>
      <c r="E32" s="354">
        <v>38005344</v>
      </c>
      <c r="F32" s="356">
        <f>SUM(F20:F31)</f>
        <v>37408663</v>
      </c>
      <c r="G32" s="356">
        <f>$E$32-F32</f>
        <v>596681</v>
      </c>
      <c r="H32" s="362">
        <f>SUM(H20:H31)</f>
        <v>37256638.723199993</v>
      </c>
      <c r="I32" s="356">
        <f>$E$32-H32</f>
        <v>748705.27680000663</v>
      </c>
      <c r="J32" s="362">
        <f>SUM(J20:J31)</f>
        <v>36238300</v>
      </c>
      <c r="K32" s="356">
        <f>$E$32-J32</f>
        <v>1767044</v>
      </c>
      <c r="L32" s="362">
        <f>SUM(L20:L31)</f>
        <v>36914970</v>
      </c>
      <c r="M32" s="356">
        <f>$E$32-L32</f>
        <v>1090374</v>
      </c>
      <c r="N32" s="362">
        <f>SUM(N20:N31)</f>
        <v>37539770</v>
      </c>
      <c r="O32" s="356">
        <f>$E$32-N32</f>
        <v>465574</v>
      </c>
      <c r="P32" s="356">
        <f>SUM(P20:P31)</f>
        <v>36948785</v>
      </c>
      <c r="Q32" s="356">
        <f>$E$32-P32</f>
        <v>1056559</v>
      </c>
      <c r="R32" s="356">
        <f>SUM(R20:R31)</f>
        <v>37241438</v>
      </c>
      <c r="S32" s="356">
        <f>$E$32-R32</f>
        <v>763906</v>
      </c>
      <c r="T32" s="356">
        <f>SUM(T20:T31)</f>
        <v>37347854</v>
      </c>
      <c r="U32" s="356">
        <f>$E$32-T32</f>
        <v>657490</v>
      </c>
      <c r="V32" s="354">
        <v>38005344</v>
      </c>
      <c r="W32" s="356">
        <f>SUM(W20:W31)</f>
        <v>37127418</v>
      </c>
      <c r="X32" s="356">
        <f>$E$32-W32</f>
        <v>877926</v>
      </c>
      <c r="Y32" s="356">
        <f>SUM(Y20:Y31)</f>
        <v>37390231</v>
      </c>
      <c r="Z32" s="356">
        <f>$E$32-Y32</f>
        <v>615113</v>
      </c>
    </row>
    <row r="33" spans="1:26" x14ac:dyDescent="0.25">
      <c r="A33" s="440" t="s">
        <v>136</v>
      </c>
      <c r="B33" s="440"/>
      <c r="C33" s="440"/>
      <c r="D33" s="7">
        <v>0.2</v>
      </c>
      <c r="E33" s="217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355"/>
      <c r="U33" s="355"/>
      <c r="V33" s="217"/>
      <c r="W33" s="355"/>
      <c r="X33" s="355"/>
      <c r="Y33" s="355"/>
      <c r="Z33" s="355"/>
    </row>
    <row r="34" spans="1:26" x14ac:dyDescent="0.25">
      <c r="A34" s="8"/>
      <c r="B34" s="8" t="s">
        <v>134</v>
      </c>
      <c r="C34" s="8"/>
      <c r="D34" s="9">
        <v>0.13</v>
      </c>
      <c r="E34" s="217">
        <v>4940692.9279499995</v>
      </c>
      <c r="F34" s="355">
        <f>ROUND(F32*D34,0)</f>
        <v>4863126</v>
      </c>
      <c r="G34" s="355">
        <f>$E$34-F34</f>
        <v>77566.927949999459</v>
      </c>
      <c r="H34" s="355">
        <f>H32*D34</f>
        <v>4843363.0340159992</v>
      </c>
      <c r="I34" s="355">
        <f>$E$34-H34</f>
        <v>97329.893934000283</v>
      </c>
      <c r="J34" s="355">
        <f>J32*D34</f>
        <v>4710979</v>
      </c>
      <c r="K34" s="355">
        <f>$E$34-J34</f>
        <v>229713.92794999946</v>
      </c>
      <c r="L34" s="355">
        <f>L32*D34</f>
        <v>4798946.1000000006</v>
      </c>
      <c r="M34" s="355">
        <f>$E$34-L34</f>
        <v>141746.8279499989</v>
      </c>
      <c r="N34" s="355">
        <f>N32*D34</f>
        <v>4880170.1000000006</v>
      </c>
      <c r="O34" s="355">
        <f>$E$34-N34</f>
        <v>60522.8279499989</v>
      </c>
      <c r="P34" s="355">
        <f>P32*D34</f>
        <v>4803342.05</v>
      </c>
      <c r="Q34" s="355">
        <f>$E$34-P34</f>
        <v>137350.87794999965</v>
      </c>
      <c r="R34" s="355">
        <f>R32*D34</f>
        <v>4841386.9400000004</v>
      </c>
      <c r="S34" s="355">
        <f>$E$34-R34</f>
        <v>99305.987949999049</v>
      </c>
      <c r="T34" s="355">
        <f>T32*D34</f>
        <v>4855221.0200000005</v>
      </c>
      <c r="U34" s="355">
        <f>$E$34-T34</f>
        <v>85471.907949998975</v>
      </c>
      <c r="V34" s="217">
        <v>4940692.9279499995</v>
      </c>
      <c r="W34" s="355">
        <f>W32*D34</f>
        <v>4826564.34</v>
      </c>
      <c r="X34" s="355">
        <f>$E$34-W34</f>
        <v>114128.58794999961</v>
      </c>
      <c r="Y34" s="355">
        <f>Y32*D34</f>
        <v>4860730.03</v>
      </c>
      <c r="Z34" s="355">
        <f>$E$34-Y34</f>
        <v>79962.897949999198</v>
      </c>
    </row>
    <row r="35" spans="1:26" x14ac:dyDescent="0.25">
      <c r="A35" s="8"/>
      <c r="B35" s="8" t="s">
        <v>132</v>
      </c>
      <c r="C35" s="8"/>
      <c r="D35" s="7">
        <v>0.02</v>
      </c>
      <c r="E35" s="217">
        <v>760106.60429999989</v>
      </c>
      <c r="F35" s="355">
        <f>ROUND(F32*D35,0)</f>
        <v>748173</v>
      </c>
      <c r="G35" s="355">
        <f>$E$35-F35</f>
        <v>11933.60429999989</v>
      </c>
      <c r="H35" s="355">
        <f>H32*D35</f>
        <v>745132.7744639999</v>
      </c>
      <c r="I35" s="355">
        <f>$E$35-H35</f>
        <v>14973.82983599999</v>
      </c>
      <c r="J35" s="355">
        <f>J32*D35</f>
        <v>724766</v>
      </c>
      <c r="K35" s="355">
        <f>$E$35-J35</f>
        <v>35340.60429999989</v>
      </c>
      <c r="L35" s="355">
        <f>L32*D35</f>
        <v>738299.4</v>
      </c>
      <c r="M35" s="355">
        <f>$E$35-L35</f>
        <v>21807.204299999867</v>
      </c>
      <c r="N35" s="355">
        <f>N32*D35</f>
        <v>750795.4</v>
      </c>
      <c r="O35" s="355">
        <f>$E$35-N35</f>
        <v>9311.2042999998666</v>
      </c>
      <c r="P35" s="355">
        <f>P32*D35</f>
        <v>738975.70000000007</v>
      </c>
      <c r="Q35" s="355">
        <f>$E$35-P35</f>
        <v>21130.90429999982</v>
      </c>
      <c r="R35" s="355">
        <f>R32*D35</f>
        <v>744828.76</v>
      </c>
      <c r="S35" s="355">
        <f>$E$35-R35</f>
        <v>15277.844299999881</v>
      </c>
      <c r="T35" s="355">
        <f>T32*D35</f>
        <v>746957.08</v>
      </c>
      <c r="U35" s="355">
        <f>$E$35-T35</f>
        <v>13149.524299999932</v>
      </c>
      <c r="V35" s="217">
        <v>760106.60429999989</v>
      </c>
      <c r="W35" s="355">
        <f>W32*D35</f>
        <v>742548.36</v>
      </c>
      <c r="X35" s="355">
        <f>$E$35-W35</f>
        <v>17558.244299999904</v>
      </c>
      <c r="Y35" s="355">
        <f>Y32*D35</f>
        <v>747804.62</v>
      </c>
      <c r="Z35" s="355">
        <f>$E$35-Y35</f>
        <v>12301.984299999895</v>
      </c>
    </row>
    <row r="36" spans="1:26" x14ac:dyDescent="0.25">
      <c r="A36" s="8"/>
      <c r="B36" s="8" t="s">
        <v>133</v>
      </c>
      <c r="C36" s="8"/>
      <c r="D36" s="7">
        <v>0.05</v>
      </c>
      <c r="E36" s="217">
        <v>1900266.5107499999</v>
      </c>
      <c r="F36" s="355">
        <f>ROUND(F32*D36,0)</f>
        <v>1870433</v>
      </c>
      <c r="G36" s="355">
        <f>$E$36-F36</f>
        <v>29833.510749999899</v>
      </c>
      <c r="H36" s="355">
        <f>H32*D36</f>
        <v>1862831.9361599998</v>
      </c>
      <c r="I36" s="355">
        <f>$E$36-H36</f>
        <v>37434.574590000091</v>
      </c>
      <c r="J36" s="355">
        <f>J32*D36</f>
        <v>1811915</v>
      </c>
      <c r="K36" s="355">
        <f>$E$36-J36</f>
        <v>88351.510749999899</v>
      </c>
      <c r="L36" s="355">
        <f>L32*D36</f>
        <v>1845748.5</v>
      </c>
      <c r="M36" s="355">
        <f>$E$36-L36</f>
        <v>54518.010749999899</v>
      </c>
      <c r="N36" s="355">
        <f>N32*D36</f>
        <v>1876988.5</v>
      </c>
      <c r="O36" s="355">
        <f>$E$36-N36</f>
        <v>23278.010749999899</v>
      </c>
      <c r="P36" s="355">
        <f>P32*D36</f>
        <v>1847439.25</v>
      </c>
      <c r="Q36" s="355">
        <f>$E$36-P36</f>
        <v>52827.260749999899</v>
      </c>
      <c r="R36" s="355">
        <f>R32*D36</f>
        <v>1862071.9000000001</v>
      </c>
      <c r="S36" s="355">
        <f>$E$36-R36</f>
        <v>38194.61074999976</v>
      </c>
      <c r="T36" s="355">
        <f>T32*D36</f>
        <v>1867392.7000000002</v>
      </c>
      <c r="U36" s="355">
        <f>$E$36-T36</f>
        <v>32873.810749999713</v>
      </c>
      <c r="V36" s="217">
        <v>1900266.5107499999</v>
      </c>
      <c r="W36" s="355">
        <f>W32*D36</f>
        <v>1856370.9000000001</v>
      </c>
      <c r="X36" s="355">
        <f>$E$36-W36</f>
        <v>43895.61074999976</v>
      </c>
      <c r="Y36" s="355">
        <f>Y32*D36</f>
        <v>1869511.55</v>
      </c>
      <c r="Z36" s="355">
        <f>$E$36-Y36</f>
        <v>30754.960749999853</v>
      </c>
    </row>
    <row r="37" spans="1:26" x14ac:dyDescent="0.25">
      <c r="A37" s="8"/>
      <c r="B37" s="8" t="s">
        <v>135</v>
      </c>
      <c r="C37" s="8"/>
      <c r="D37" s="7">
        <v>0.19</v>
      </c>
      <c r="E37" s="217">
        <v>361050.63704249996</v>
      </c>
      <c r="F37" s="355">
        <f>ROUND(F36*D37,0)</f>
        <v>355382</v>
      </c>
      <c r="G37" s="355">
        <f>$E$37-F37</f>
        <v>5668.6370424999623</v>
      </c>
      <c r="H37" s="355">
        <f>H36*D37</f>
        <v>353938.06787039997</v>
      </c>
      <c r="I37" s="355">
        <f>$E$37-H37</f>
        <v>7112.5691720999894</v>
      </c>
      <c r="J37" s="355">
        <f>J36*D37</f>
        <v>344263.85</v>
      </c>
      <c r="K37" s="355">
        <f>$E$37-J37</f>
        <v>16786.787042499986</v>
      </c>
      <c r="L37" s="355">
        <f>L36*D37</f>
        <v>350692.21500000003</v>
      </c>
      <c r="M37" s="355">
        <f>$E$37-L37</f>
        <v>10358.422042499937</v>
      </c>
      <c r="N37" s="355">
        <f>N36*D37</f>
        <v>356627.815</v>
      </c>
      <c r="O37" s="355">
        <f>$E$37-N37</f>
        <v>4422.8220424999599</v>
      </c>
      <c r="P37" s="355">
        <f>P36*D37</f>
        <v>351013.45750000002</v>
      </c>
      <c r="Q37" s="355">
        <f>$E$37-P37</f>
        <v>10037.179542499944</v>
      </c>
      <c r="R37" s="355">
        <f>R36*D37</f>
        <v>353793.66100000002</v>
      </c>
      <c r="S37" s="355">
        <f>$E$37-R37</f>
        <v>7256.9760424999404</v>
      </c>
      <c r="T37" s="355">
        <f>T36*D37</f>
        <v>354804.61300000001</v>
      </c>
      <c r="U37" s="355">
        <f>$E$37-T37</f>
        <v>6246.0240424999502</v>
      </c>
      <c r="V37" s="217">
        <v>361050.63704249996</v>
      </c>
      <c r="W37" s="355">
        <f>W36*D37</f>
        <v>352710.47100000002</v>
      </c>
      <c r="X37" s="355">
        <f>$E$37-W37</f>
        <v>8340.1660424999427</v>
      </c>
      <c r="Y37" s="355">
        <f>Y36*D37</f>
        <v>355207.19450000004</v>
      </c>
      <c r="Z37" s="355">
        <f>$E$37-Y37</f>
        <v>5843.4425424999208</v>
      </c>
    </row>
    <row r="38" spans="1:26" x14ac:dyDescent="0.25">
      <c r="A38" s="13"/>
      <c r="B38" s="439" t="s">
        <v>129</v>
      </c>
      <c r="C38" s="439"/>
      <c r="D38" s="439"/>
      <c r="E38" s="354">
        <f>SUM(E34:E37)</f>
        <v>7962116.6800424997</v>
      </c>
      <c r="F38" s="356">
        <f>SUM(F34:F37)</f>
        <v>7837114</v>
      </c>
      <c r="G38" s="356">
        <f>$E$38-F38</f>
        <v>125002.68004249968</v>
      </c>
      <c r="H38" s="362">
        <f>SUM(H34:H37)</f>
        <v>7805265.8125103991</v>
      </c>
      <c r="I38" s="356">
        <f>$E$38-H38</f>
        <v>156850.86753210053</v>
      </c>
      <c r="J38" s="362">
        <f>SUM(J34:J37)</f>
        <v>7591923.8499999996</v>
      </c>
      <c r="K38" s="356">
        <f>$E$38-J38</f>
        <v>370192.83004250005</v>
      </c>
      <c r="L38" s="356">
        <f>SUM(L34:L37)</f>
        <v>7733686.2150000008</v>
      </c>
      <c r="M38" s="356">
        <f>$E$38-L38</f>
        <v>228430.46504249889</v>
      </c>
      <c r="N38" s="362">
        <f>SUM(N34:N37)</f>
        <v>7864581.8150000013</v>
      </c>
      <c r="O38" s="356">
        <f>$E$38-N38</f>
        <v>97534.865042498335</v>
      </c>
      <c r="P38" s="356">
        <f>SUM(P34:P37)</f>
        <v>7740770.4574999996</v>
      </c>
      <c r="Q38" s="356">
        <f>$E$38-P38</f>
        <v>221346.22254250012</v>
      </c>
      <c r="R38" s="362">
        <f>SUM(R34:R37)</f>
        <v>7802081.2610000009</v>
      </c>
      <c r="S38" s="356">
        <f>$E$38-R38</f>
        <v>160035.4190424988</v>
      </c>
      <c r="T38" s="362">
        <f>SUM(T34:T37)</f>
        <v>7824375.4130000006</v>
      </c>
      <c r="U38" s="356">
        <f>$E$38-T38</f>
        <v>137741.26704249904</v>
      </c>
      <c r="V38" s="354">
        <f>SUM(V34:V37)</f>
        <v>7962116.6800424997</v>
      </c>
      <c r="W38" s="362">
        <f>SUM(W34:W37)</f>
        <v>7778194.0710000005</v>
      </c>
      <c r="X38" s="356">
        <f>$E$38-W38</f>
        <v>183922.60904249921</v>
      </c>
      <c r="Y38" s="362">
        <f>SUM(Y34:Y37)</f>
        <v>7833253.3945000004</v>
      </c>
      <c r="Z38" s="356">
        <f>$E$38-Y38</f>
        <v>128863.28554249927</v>
      </c>
    </row>
    <row r="39" spans="1:26" ht="16.5" x14ac:dyDescent="0.25">
      <c r="A39" s="441" t="s">
        <v>130</v>
      </c>
      <c r="B39" s="441"/>
      <c r="C39" s="441"/>
      <c r="D39" s="441"/>
      <c r="E39" s="18">
        <f>E32+E38</f>
        <v>45967460.680042498</v>
      </c>
      <c r="F39" s="357">
        <f>F32+F38</f>
        <v>45245777</v>
      </c>
      <c r="G39" s="357">
        <f>$E$39-F39</f>
        <v>721683.68004249781</v>
      </c>
      <c r="H39" s="361">
        <f>H32+H38</f>
        <v>45061904.535710394</v>
      </c>
      <c r="I39" s="357">
        <f>$E$39-H39</f>
        <v>905556.14433210343</v>
      </c>
      <c r="J39" s="361">
        <f>J32+J38</f>
        <v>43830223.850000001</v>
      </c>
      <c r="K39" s="357">
        <f>$E$39-J39</f>
        <v>2137236.8300424963</v>
      </c>
      <c r="L39" s="361">
        <f>L32+L38</f>
        <v>44648656.215000004</v>
      </c>
      <c r="M39" s="357">
        <f>$E$39-L39</f>
        <v>1318804.4650424942</v>
      </c>
      <c r="N39" s="361">
        <f>N32+N38</f>
        <v>45404351.814999998</v>
      </c>
      <c r="O39" s="357">
        <f>$E$39-N39</f>
        <v>563108.8650425002</v>
      </c>
      <c r="P39" s="357">
        <f>P32+P38</f>
        <v>44689555.457499996</v>
      </c>
      <c r="Q39" s="357">
        <f>$E$39-P39</f>
        <v>1277905.222542502</v>
      </c>
      <c r="R39" s="361">
        <f>R32+R38</f>
        <v>45043519.261</v>
      </c>
      <c r="S39" s="357">
        <f>$E$39-R39</f>
        <v>923941.41904249787</v>
      </c>
      <c r="T39" s="361">
        <f>T32+T38</f>
        <v>45172229.413000003</v>
      </c>
      <c r="U39" s="357">
        <f>$E$39-T39</f>
        <v>795231.26704249531</v>
      </c>
      <c r="V39" s="18">
        <f>V32+V38</f>
        <v>45967460.680042498</v>
      </c>
      <c r="W39" s="361">
        <f>W32+W38</f>
        <v>44905612.071000002</v>
      </c>
      <c r="X39" s="357">
        <f>$E$39-W39</f>
        <v>1061848.6090424955</v>
      </c>
      <c r="Y39" s="361">
        <f>Y32+Y38</f>
        <v>45223484.394500002</v>
      </c>
      <c r="Z39" s="357">
        <f>$E$39-Y39</f>
        <v>743976.28554249555</v>
      </c>
    </row>
  </sheetData>
  <mergeCells count="8">
    <mergeCell ref="B38:D38"/>
    <mergeCell ref="A39:D39"/>
    <mergeCell ref="A9:D9"/>
    <mergeCell ref="A10:C10"/>
    <mergeCell ref="B15:D15"/>
    <mergeCell ref="A16:D16"/>
    <mergeCell ref="A32:D32"/>
    <mergeCell ref="A33:C33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5ECD-54DA-4C4F-8B5A-E2374EB0786F}">
  <dimension ref="A1:Z39"/>
  <sheetViews>
    <sheetView zoomScale="130" zoomScaleNormal="130" workbookViewId="0">
      <pane xSplit="5" ySplit="1" topLeftCell="O24" activePane="bottomRight" state="frozen"/>
      <selection pane="topRight" activeCell="F1" sqref="F1"/>
      <selection pane="bottomLeft" activeCell="A2" sqref="A2"/>
      <selection pane="bottomRight" activeCell="W20" sqref="W20:W31"/>
    </sheetView>
  </sheetViews>
  <sheetFormatPr baseColWidth="10" defaultRowHeight="15" x14ac:dyDescent="0.25"/>
  <cols>
    <col min="1" max="1" width="4.42578125" style="2" bestFit="1" customWidth="1"/>
    <col min="2" max="2" width="30.85546875" style="10" customWidth="1"/>
    <col min="3" max="3" width="6.140625" style="2" bestFit="1" customWidth="1"/>
    <col min="4" max="4" width="6.42578125" style="2" bestFit="1" customWidth="1"/>
    <col min="5" max="5" width="12.7109375" style="15" bestFit="1" customWidth="1"/>
    <col min="6" max="6" width="12.28515625" style="2" customWidth="1"/>
    <col min="7" max="7" width="10.7109375" style="19" customWidth="1"/>
    <col min="8" max="8" width="14.28515625" style="2" customWidth="1"/>
    <col min="9" max="9" width="10.7109375" style="19" customWidth="1"/>
    <col min="10" max="10" width="12.28515625" style="379" customWidth="1"/>
    <col min="11" max="11" width="10.7109375" style="363" customWidth="1"/>
    <col min="12" max="12" width="12.28515625" style="2" customWidth="1"/>
    <col min="13" max="13" width="10.7109375" style="19" customWidth="1"/>
    <col min="14" max="14" width="12.28515625" style="2" customWidth="1"/>
    <col min="15" max="15" width="10.7109375" style="19" customWidth="1"/>
    <col min="16" max="16" width="12.28515625" style="2" customWidth="1"/>
    <col min="17" max="17" width="10.7109375" style="19" customWidth="1"/>
    <col min="18" max="18" width="12.28515625" style="2" customWidth="1"/>
    <col min="19" max="19" width="10.7109375" style="19" customWidth="1"/>
    <col min="20" max="20" width="12.28515625" style="2" customWidth="1"/>
    <col min="21" max="21" width="10.7109375" style="19" customWidth="1"/>
    <col min="22" max="22" width="12.7109375" style="15" bestFit="1" customWidth="1"/>
    <col min="23" max="23" width="12.28515625" style="2" customWidth="1"/>
    <col min="24" max="24" width="10.7109375" style="19" customWidth="1"/>
    <col min="25" max="25" width="12.28515625" style="2" customWidth="1"/>
    <col min="26" max="26" width="10.7109375" style="19" customWidth="1"/>
  </cols>
  <sheetData>
    <row r="1" spans="1:26" ht="40.5" x14ac:dyDescent="0.25">
      <c r="A1" s="11" t="s">
        <v>127</v>
      </c>
      <c r="B1" s="12" t="s">
        <v>7</v>
      </c>
      <c r="C1" s="12" t="s">
        <v>4</v>
      </c>
      <c r="D1" s="12" t="s">
        <v>138</v>
      </c>
      <c r="E1" s="14" t="s">
        <v>137</v>
      </c>
      <c r="F1" s="12" t="s">
        <v>469</v>
      </c>
      <c r="G1" s="12" t="s">
        <v>271</v>
      </c>
      <c r="H1" s="12" t="s">
        <v>470</v>
      </c>
      <c r="I1" s="12" t="s">
        <v>271</v>
      </c>
      <c r="J1" s="375" t="s">
        <v>471</v>
      </c>
      <c r="K1" s="375" t="s">
        <v>271</v>
      </c>
      <c r="L1" s="12" t="s">
        <v>472</v>
      </c>
      <c r="M1" s="12" t="s">
        <v>271</v>
      </c>
      <c r="N1" s="12" t="s">
        <v>473</v>
      </c>
      <c r="O1" s="12" t="s">
        <v>271</v>
      </c>
      <c r="P1" s="12" t="s">
        <v>474</v>
      </c>
      <c r="Q1" s="12" t="s">
        <v>271</v>
      </c>
      <c r="R1" s="12" t="s">
        <v>475</v>
      </c>
      <c r="S1" s="12" t="s">
        <v>271</v>
      </c>
      <c r="T1" s="12" t="s">
        <v>270</v>
      </c>
      <c r="U1" s="12" t="s">
        <v>271</v>
      </c>
      <c r="V1" s="14" t="s">
        <v>137</v>
      </c>
      <c r="W1" s="12" t="s">
        <v>476</v>
      </c>
      <c r="X1" s="12" t="s">
        <v>271</v>
      </c>
      <c r="Y1" s="12"/>
      <c r="Z1" s="12" t="s">
        <v>271</v>
      </c>
    </row>
    <row r="2" spans="1:26" ht="27" x14ac:dyDescent="0.25">
      <c r="A2" s="216">
        <v>1</v>
      </c>
      <c r="B2" s="5" t="s">
        <v>292</v>
      </c>
      <c r="C2" s="6" t="s">
        <v>4</v>
      </c>
      <c r="D2" s="3">
        <v>1</v>
      </c>
      <c r="E2" s="217">
        <v>4568383</v>
      </c>
      <c r="F2" s="355">
        <v>4440467</v>
      </c>
      <c r="G2" s="355">
        <f>$E$2-F2</f>
        <v>127916</v>
      </c>
      <c r="H2" s="355">
        <v>4443667.4000000004</v>
      </c>
      <c r="I2" s="355">
        <f>$E$2-H2</f>
        <v>124715.59999999963</v>
      </c>
      <c r="J2" s="376"/>
      <c r="K2" s="376">
        <f>$E$2-J2</f>
        <v>4568383</v>
      </c>
      <c r="L2" s="355">
        <v>4536407</v>
      </c>
      <c r="M2" s="355">
        <f>$E$2-L2</f>
        <v>31976</v>
      </c>
      <c r="N2" s="355">
        <v>3631042.2</v>
      </c>
      <c r="O2" s="355">
        <f>$E$2-N2</f>
        <v>937340.79999999981</v>
      </c>
      <c r="P2" s="355">
        <v>3700239</v>
      </c>
      <c r="Q2" s="355">
        <f>$E$2-P2</f>
        <v>868144</v>
      </c>
      <c r="R2" s="355">
        <v>4407888</v>
      </c>
      <c r="S2" s="355">
        <f>$E$2-R2</f>
        <v>160495</v>
      </c>
      <c r="T2" s="355">
        <v>4450064</v>
      </c>
      <c r="U2" s="355">
        <f>$E$2-T2</f>
        <v>118319</v>
      </c>
      <c r="V2" s="217">
        <v>4568383</v>
      </c>
      <c r="W2" s="355">
        <v>3712036</v>
      </c>
      <c r="X2" s="355">
        <f>$E$2-W2</f>
        <v>856347</v>
      </c>
      <c r="Y2" s="355"/>
      <c r="Z2" s="355">
        <f>$E$2-Y2</f>
        <v>4568383</v>
      </c>
    </row>
    <row r="3" spans="1:26" x14ac:dyDescent="0.25">
      <c r="A3" s="216">
        <v>2</v>
      </c>
      <c r="B3" s="5" t="s">
        <v>299</v>
      </c>
      <c r="C3" s="6" t="s">
        <v>4</v>
      </c>
      <c r="D3" s="3">
        <v>1</v>
      </c>
      <c r="E3" s="217">
        <v>26508156.666666668</v>
      </c>
      <c r="F3" s="355">
        <v>25765920</v>
      </c>
      <c r="G3" s="355">
        <f>$E$3-F3</f>
        <v>742236.66666666791</v>
      </c>
      <c r="H3" s="355">
        <v>25784570</v>
      </c>
      <c r="I3" s="355">
        <f>$E$3-H3</f>
        <v>723586.66666666791</v>
      </c>
      <c r="J3" s="376"/>
      <c r="K3" s="376">
        <f>$E$3-J3</f>
        <v>26508156.666666668</v>
      </c>
      <c r="L3" s="355">
        <v>26322660</v>
      </c>
      <c r="M3" s="355">
        <f>$E$3-L3</f>
        <v>185496.66666666791</v>
      </c>
      <c r="N3" s="355">
        <v>25151260</v>
      </c>
      <c r="O3" s="355">
        <f>$E$3-N3</f>
        <v>1356896.6666666679</v>
      </c>
      <c r="P3" s="355">
        <v>25630670</v>
      </c>
      <c r="Q3" s="355">
        <f>$E$3-P3</f>
        <v>877486.66666666791</v>
      </c>
      <c r="R3" s="355">
        <v>25576820</v>
      </c>
      <c r="S3" s="355">
        <f>$E$3-R3</f>
        <v>931336.66666666791</v>
      </c>
      <c r="T3" s="355">
        <v>25821550</v>
      </c>
      <c r="U3" s="355">
        <f>$E$3-T3</f>
        <v>686606.66666666791</v>
      </c>
      <c r="V3" s="217">
        <v>26508156.666666668</v>
      </c>
      <c r="W3" s="355">
        <v>25712381</v>
      </c>
      <c r="X3" s="355">
        <f>$E$3-W3</f>
        <v>795775.66666666791</v>
      </c>
      <c r="Y3" s="355"/>
      <c r="Z3" s="355">
        <f>$E$3-Y3</f>
        <v>26508156.666666668</v>
      </c>
    </row>
    <row r="4" spans="1:26" x14ac:dyDescent="0.25">
      <c r="A4" s="216">
        <v>3</v>
      </c>
      <c r="B4" s="4" t="s">
        <v>308</v>
      </c>
      <c r="C4" s="6" t="s">
        <v>4</v>
      </c>
      <c r="D4" s="3">
        <v>1</v>
      </c>
      <c r="E4" s="217">
        <v>18398710.550000001</v>
      </c>
      <c r="F4" s="355">
        <v>17883773.66</v>
      </c>
      <c r="G4" s="355">
        <f>$E$4-F4</f>
        <v>514936.8900000006</v>
      </c>
      <c r="H4" s="355">
        <v>17896407.73</v>
      </c>
      <c r="I4" s="355">
        <f>$E$4-H4</f>
        <v>502302.8200000003</v>
      </c>
      <c r="J4" s="376"/>
      <c r="K4" s="376">
        <f>$E$4-J4</f>
        <v>18398710.550000001</v>
      </c>
      <c r="L4" s="355">
        <v>18270120</v>
      </c>
      <c r="M4" s="355">
        <f>$E$4-L4</f>
        <v>128590.55000000075</v>
      </c>
      <c r="N4" s="355">
        <v>17535563.259999998</v>
      </c>
      <c r="O4" s="355">
        <f>$E$4-N4</f>
        <v>863147.29000000283</v>
      </c>
      <c r="P4" s="355">
        <v>17869643</v>
      </c>
      <c r="Q4" s="355">
        <f>$E$4-P4</f>
        <v>529067.55000000075</v>
      </c>
      <c r="R4" s="355">
        <v>17752363</v>
      </c>
      <c r="S4" s="355">
        <f>$E$4-R4</f>
        <v>646347.55000000075</v>
      </c>
      <c r="T4" s="355">
        <v>17922026</v>
      </c>
      <c r="U4" s="355">
        <f>$E$4-T4</f>
        <v>476684.55000000075</v>
      </c>
      <c r="V4" s="217">
        <v>18398710.550000001</v>
      </c>
      <c r="W4" s="355">
        <v>17927079</v>
      </c>
      <c r="X4" s="355">
        <f>$E$4-W4</f>
        <v>471631.55000000075</v>
      </c>
      <c r="Y4" s="355"/>
      <c r="Z4" s="355">
        <f>$E$4-Y4</f>
        <v>18398710.550000001</v>
      </c>
    </row>
    <row r="5" spans="1:26" x14ac:dyDescent="0.25">
      <c r="A5" s="216">
        <v>4</v>
      </c>
      <c r="B5" s="4" t="s">
        <v>314</v>
      </c>
      <c r="C5" s="6" t="s">
        <v>4</v>
      </c>
      <c r="D5" s="3">
        <v>1</v>
      </c>
      <c r="E5" s="217">
        <v>9464086.666666666</v>
      </c>
      <c r="F5" s="355">
        <v>9199060</v>
      </c>
      <c r="G5" s="355">
        <f>$E$5-F5</f>
        <v>265026.66666666605</v>
      </c>
      <c r="H5" s="355">
        <v>9205690</v>
      </c>
      <c r="I5" s="355">
        <f>$E$5-H5</f>
        <v>258396.66666666605</v>
      </c>
      <c r="J5" s="376"/>
      <c r="K5" s="376">
        <f>$E$5-J5</f>
        <v>9464086.666666666</v>
      </c>
      <c r="L5" s="355">
        <v>9397830</v>
      </c>
      <c r="M5" s="355">
        <f>$E$5-L5</f>
        <v>66256.666666666046</v>
      </c>
      <c r="N5" s="355">
        <v>9038120</v>
      </c>
      <c r="O5" s="355">
        <f>$E$5-N5</f>
        <v>425966.66666666605</v>
      </c>
      <c r="P5" s="355">
        <v>9210240</v>
      </c>
      <c r="Q5" s="355">
        <f>$E$5-P5</f>
        <v>253846.66666666605</v>
      </c>
      <c r="R5" s="355">
        <v>9131590</v>
      </c>
      <c r="S5" s="355">
        <f>$E$5-R5</f>
        <v>332496.66666666605</v>
      </c>
      <c r="T5" s="355">
        <v>9218950</v>
      </c>
      <c r="U5" s="355">
        <f>$E$5-T5</f>
        <v>245136.66666666605</v>
      </c>
      <c r="V5" s="217">
        <v>9464086.666666666</v>
      </c>
      <c r="W5" s="355">
        <v>9239787</v>
      </c>
      <c r="X5" s="355">
        <f>$E$5-W5</f>
        <v>224299.66666666605</v>
      </c>
      <c r="Y5" s="355"/>
      <c r="Z5" s="355">
        <f>$E$5-Y5</f>
        <v>9464086.666666666</v>
      </c>
    </row>
    <row r="6" spans="1:26" ht="27" x14ac:dyDescent="0.25">
      <c r="A6" s="216">
        <v>5</v>
      </c>
      <c r="B6" s="4" t="s">
        <v>323</v>
      </c>
      <c r="C6" s="6" t="s">
        <v>4</v>
      </c>
      <c r="D6" s="3">
        <v>1</v>
      </c>
      <c r="E6" s="217">
        <v>46259409</v>
      </c>
      <c r="F6" s="355">
        <v>44964177.159999996</v>
      </c>
      <c r="G6" s="355">
        <f>$E$6-F6</f>
        <v>1295231.8400000036</v>
      </c>
      <c r="H6" s="355">
        <v>44996540.260000005</v>
      </c>
      <c r="I6" s="355">
        <f>$E$6-H6</f>
        <v>1262868.7399999946</v>
      </c>
      <c r="J6" s="376"/>
      <c r="K6" s="376">
        <f>$E$6-J6</f>
        <v>46259409</v>
      </c>
      <c r="L6" s="355">
        <v>45935618</v>
      </c>
      <c r="M6" s="355">
        <f>$E$6-L6</f>
        <v>323791</v>
      </c>
      <c r="N6" s="355">
        <v>42008770.269999996</v>
      </c>
      <c r="O6" s="355">
        <f>$E$6-N6</f>
        <v>4250638.7300000042</v>
      </c>
      <c r="P6" s="355">
        <v>42721756</v>
      </c>
      <c r="Q6" s="355">
        <f>$E$6-P6</f>
        <v>3537653</v>
      </c>
      <c r="R6" s="355">
        <v>44634210</v>
      </c>
      <c r="S6" s="355">
        <f>$E$6-R6</f>
        <v>1625199</v>
      </c>
      <c r="T6" s="355">
        <v>45061291</v>
      </c>
      <c r="U6" s="355">
        <f>$E$6-T6</f>
        <v>1198118</v>
      </c>
      <c r="V6" s="217">
        <v>46259409</v>
      </c>
      <c r="W6" s="355">
        <v>42945721</v>
      </c>
      <c r="X6" s="355">
        <f>$E$6-W6</f>
        <v>3313688</v>
      </c>
      <c r="Y6" s="355"/>
      <c r="Z6" s="355">
        <f>$E$6-Y6</f>
        <v>46259409</v>
      </c>
    </row>
    <row r="7" spans="1:26" x14ac:dyDescent="0.25">
      <c r="A7" s="216">
        <v>6</v>
      </c>
      <c r="B7" s="5" t="s">
        <v>328</v>
      </c>
      <c r="C7" s="6" t="s">
        <v>4</v>
      </c>
      <c r="D7" s="3">
        <v>1</v>
      </c>
      <c r="E7" s="217">
        <v>69497761.733333334</v>
      </c>
      <c r="F7" s="355">
        <v>67551823.849999994</v>
      </c>
      <c r="G7" s="355">
        <f>$E$7-F7</f>
        <v>1945937.8833333403</v>
      </c>
      <c r="H7" s="355">
        <v>67600507.549999997</v>
      </c>
      <c r="I7" s="355">
        <f>$E$7-H7</f>
        <v>1897254.1833333373</v>
      </c>
      <c r="J7" s="376"/>
      <c r="K7" s="376">
        <f>$E$7-J7</f>
        <v>69497761.733333334</v>
      </c>
      <c r="L7" s="355">
        <v>69011295</v>
      </c>
      <c r="M7" s="355">
        <f>$E$7-L7</f>
        <v>486466.73333333433</v>
      </c>
      <c r="N7" s="355">
        <v>66370307.899999991</v>
      </c>
      <c r="O7" s="355">
        <f>$E$7-N7</f>
        <v>3127453.8333333433</v>
      </c>
      <c r="P7" s="355">
        <v>67635113</v>
      </c>
      <c r="Q7" s="355">
        <f>$E$7-P7</f>
        <v>1862648.7333333343</v>
      </c>
      <c r="R7" s="355">
        <v>67056110</v>
      </c>
      <c r="S7" s="355">
        <f>$E$7-R7</f>
        <v>2441651.7333333343</v>
      </c>
      <c r="T7" s="355">
        <v>67697736</v>
      </c>
      <c r="U7" s="355">
        <f>$E$7-T7</f>
        <v>1800025.7333333343</v>
      </c>
      <c r="V7" s="217">
        <v>69497761.733333334</v>
      </c>
      <c r="W7" s="355">
        <v>67850665</v>
      </c>
      <c r="X7" s="355">
        <f>$E$7-W7</f>
        <v>1647096.7333333343</v>
      </c>
      <c r="Y7" s="355"/>
      <c r="Z7" s="355">
        <f>$E$7-Y7</f>
        <v>69497761.733333334</v>
      </c>
    </row>
    <row r="8" spans="1:26" ht="27" x14ac:dyDescent="0.25">
      <c r="A8" s="216">
        <v>7</v>
      </c>
      <c r="B8" s="5" t="s">
        <v>333</v>
      </c>
      <c r="C8" s="6" t="s">
        <v>4</v>
      </c>
      <c r="D8" s="3">
        <v>1</v>
      </c>
      <c r="E8" s="217">
        <v>2370133.3333333335</v>
      </c>
      <c r="F8" s="355">
        <v>2303600</v>
      </c>
      <c r="G8" s="355">
        <f>$E$8-F8</f>
        <v>66533.333333333489</v>
      </c>
      <c r="H8" s="355">
        <v>2305200</v>
      </c>
      <c r="I8" s="355">
        <f>$E$8-H8</f>
        <v>64933.333333333489</v>
      </c>
      <c r="J8" s="376"/>
      <c r="K8" s="376">
        <f>$E$8-J8</f>
        <v>2370133.3333333335</v>
      </c>
      <c r="L8" s="355">
        <v>2353600</v>
      </c>
      <c r="M8" s="355">
        <f>$E$8-L8</f>
        <v>16533.333333333489</v>
      </c>
      <c r="N8" s="355">
        <v>2263200</v>
      </c>
      <c r="O8" s="355">
        <f>$E$8-N8</f>
        <v>106933.33333333349</v>
      </c>
      <c r="P8" s="355">
        <v>2306400</v>
      </c>
      <c r="Q8" s="355">
        <f>$E$8-P8</f>
        <v>63733.333333333489</v>
      </c>
      <c r="R8" s="355">
        <v>2286800</v>
      </c>
      <c r="S8" s="355">
        <f>$E$8-R8</f>
        <v>83333.333333333489</v>
      </c>
      <c r="T8" s="355">
        <v>2308800</v>
      </c>
      <c r="U8" s="355">
        <f>$E$8-T8</f>
        <v>61333.333333333489</v>
      </c>
      <c r="V8" s="217">
        <v>2370133.3333333335</v>
      </c>
      <c r="W8" s="355">
        <v>2313960</v>
      </c>
      <c r="X8" s="355">
        <f>$E$8-W8</f>
        <v>56173.333333333489</v>
      </c>
      <c r="Y8" s="355"/>
      <c r="Z8" s="355">
        <f>$E$8-Y8</f>
        <v>2370133.3333333335</v>
      </c>
    </row>
    <row r="9" spans="1:26" s="16" customFormat="1" x14ac:dyDescent="0.25">
      <c r="A9" s="439" t="s">
        <v>128</v>
      </c>
      <c r="B9" s="439"/>
      <c r="C9" s="439"/>
      <c r="D9" s="439"/>
      <c r="E9" s="354">
        <f>SUM(E2:E8)</f>
        <v>177066640.95000002</v>
      </c>
      <c r="F9" s="356">
        <f>SUM(F2:F8)</f>
        <v>172108821.66999999</v>
      </c>
      <c r="G9" s="356">
        <f>$E$9-F9</f>
        <v>4957819.280000031</v>
      </c>
      <c r="H9" s="356">
        <f>SUM(H2:H8)</f>
        <v>172232582.94</v>
      </c>
      <c r="I9" s="356">
        <f>$E$9-H9</f>
        <v>4834058.0100000203</v>
      </c>
      <c r="J9" s="377">
        <f>SUM(J2:J8)</f>
        <v>0</v>
      </c>
      <c r="K9" s="376">
        <f>$E$9-J9</f>
        <v>177066640.95000002</v>
      </c>
      <c r="L9" s="356">
        <f>SUM(L2:L8)</f>
        <v>175827530</v>
      </c>
      <c r="M9" s="356">
        <f>$E$9-L9</f>
        <v>1239110.9500000179</v>
      </c>
      <c r="N9" s="356">
        <f>SUM(N2:N8)</f>
        <v>165998263.63</v>
      </c>
      <c r="O9" s="356">
        <f>$E$9-N9</f>
        <v>11068377.320000023</v>
      </c>
      <c r="P9" s="356">
        <f>SUM(P2:P8)</f>
        <v>169074061</v>
      </c>
      <c r="Q9" s="356">
        <f>$E$9-P9</f>
        <v>7992579.9500000179</v>
      </c>
      <c r="R9" s="356">
        <f>SUM(R2:R8)</f>
        <v>170845781</v>
      </c>
      <c r="S9" s="356">
        <f>$E$9-R9</f>
        <v>6220859.9500000179</v>
      </c>
      <c r="T9" s="356">
        <f>SUM(T2:T8)</f>
        <v>172480417</v>
      </c>
      <c r="U9" s="356">
        <f>$E$9-T9</f>
        <v>4586223.9500000179</v>
      </c>
      <c r="V9" s="354">
        <f>SUM(V2:V8)</f>
        <v>177066640.95000002</v>
      </c>
      <c r="W9" s="356">
        <f>SUM(W2:W8)</f>
        <v>169701629</v>
      </c>
      <c r="X9" s="356">
        <f>$E$9-W9</f>
        <v>7365011.9500000179</v>
      </c>
      <c r="Y9" s="356">
        <f>SUM(Y2:Y8)</f>
        <v>0</v>
      </c>
      <c r="Z9" s="356">
        <f>$E$9-Y9</f>
        <v>177066640.95000002</v>
      </c>
    </row>
    <row r="10" spans="1:26" x14ac:dyDescent="0.25">
      <c r="A10" s="440" t="s">
        <v>136</v>
      </c>
      <c r="B10" s="440"/>
      <c r="C10" s="440"/>
      <c r="D10" s="7">
        <v>0.2</v>
      </c>
      <c r="E10" s="217"/>
      <c r="F10" s="355"/>
      <c r="G10" s="355"/>
      <c r="H10" s="355"/>
      <c r="I10" s="355"/>
      <c r="J10" s="376"/>
      <c r="K10" s="376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217"/>
      <c r="W10" s="355"/>
      <c r="X10" s="355"/>
      <c r="Y10" s="355"/>
      <c r="Z10" s="355"/>
    </row>
    <row r="11" spans="1:26" x14ac:dyDescent="0.25">
      <c r="A11" s="8"/>
      <c r="B11" s="8" t="s">
        <v>134</v>
      </c>
      <c r="C11" s="8"/>
      <c r="D11" s="9">
        <v>0.13</v>
      </c>
      <c r="E11" s="217">
        <v>23018663.323500004</v>
      </c>
      <c r="F11" s="355">
        <f>(F9*D11)</f>
        <v>22374146.8171</v>
      </c>
      <c r="G11" s="355">
        <f>$E$11-F11</f>
        <v>644516.50640000403</v>
      </c>
      <c r="H11" s="355">
        <f>H9*$D$11</f>
        <v>22390235.782200001</v>
      </c>
      <c r="I11" s="355">
        <f>$E$11-H11</f>
        <v>628427.54130000249</v>
      </c>
      <c r="J11" s="376">
        <f>J9*D11</f>
        <v>0</v>
      </c>
      <c r="K11" s="376">
        <f>$E$11-J11</f>
        <v>23018663.323500004</v>
      </c>
      <c r="L11" s="355">
        <f>L9*D11</f>
        <v>22857578.900000002</v>
      </c>
      <c r="M11" s="355">
        <f>$E$11-L11</f>
        <v>161084.42350000143</v>
      </c>
      <c r="N11" s="355">
        <f>N9*D11</f>
        <v>21579774.271900002</v>
      </c>
      <c r="O11" s="355">
        <f>$E$11-N11</f>
        <v>1438889.0516000018</v>
      </c>
      <c r="P11" s="355">
        <f>P9*D11</f>
        <v>21979627.93</v>
      </c>
      <c r="Q11" s="355">
        <f>$E$11-P11</f>
        <v>1039035.393500004</v>
      </c>
      <c r="R11" s="355">
        <f>R9*D11</f>
        <v>22209951.530000001</v>
      </c>
      <c r="S11" s="355">
        <f>$E$11-R11</f>
        <v>808711.79350000247</v>
      </c>
      <c r="T11" s="355">
        <f>T9*D11</f>
        <v>22422454.210000001</v>
      </c>
      <c r="U11" s="355">
        <f>$E$11-T11</f>
        <v>596209.11350000277</v>
      </c>
      <c r="V11" s="217">
        <v>23018663.323500004</v>
      </c>
      <c r="W11" s="355">
        <f>W9*D11</f>
        <v>22061211.77</v>
      </c>
      <c r="X11" s="355">
        <f>$E$11-W11</f>
        <v>957451.55350000411</v>
      </c>
      <c r="Y11" s="355">
        <f>Y9*D11</f>
        <v>0</v>
      </c>
      <c r="Z11" s="355">
        <f>$E$11-Y11</f>
        <v>23018663.323500004</v>
      </c>
    </row>
    <row r="12" spans="1:26" x14ac:dyDescent="0.25">
      <c r="A12" s="8"/>
      <c r="B12" s="8" t="s">
        <v>132</v>
      </c>
      <c r="C12" s="8"/>
      <c r="D12" s="7">
        <v>0.02</v>
      </c>
      <c r="E12" s="217">
        <v>3541332.8190000006</v>
      </c>
      <c r="F12" s="355">
        <f>F9*D12</f>
        <v>3442176.4334</v>
      </c>
      <c r="G12" s="355">
        <f>$E$12-F12</f>
        <v>99156.38560000062</v>
      </c>
      <c r="H12" s="355">
        <f>H9*$D$12</f>
        <v>3444651.6587999999</v>
      </c>
      <c r="I12" s="355">
        <f>$E$12-H12</f>
        <v>96681.160200000741</v>
      </c>
      <c r="J12" s="376">
        <f>J9*D12</f>
        <v>0</v>
      </c>
      <c r="K12" s="376">
        <f>$E$12-J12</f>
        <v>3541332.8190000006</v>
      </c>
      <c r="L12" s="355">
        <f>L9*D12</f>
        <v>3516550.6</v>
      </c>
      <c r="M12" s="355">
        <f>$E$12-L12</f>
        <v>24782.219000000507</v>
      </c>
      <c r="N12" s="355">
        <f>N9*D12</f>
        <v>3319965.2725999998</v>
      </c>
      <c r="O12" s="355">
        <f>$E$12-N12</f>
        <v>221367.54640000081</v>
      </c>
      <c r="P12" s="355">
        <f>P9*D12</f>
        <v>3381481.22</v>
      </c>
      <c r="Q12" s="355">
        <f>$E$12-P12</f>
        <v>159851.59900000039</v>
      </c>
      <c r="R12" s="355">
        <f>R9*D12</f>
        <v>3416915.62</v>
      </c>
      <c r="S12" s="355">
        <f>$E$12-R12</f>
        <v>124417.19900000049</v>
      </c>
      <c r="T12" s="355">
        <f>T9*D12</f>
        <v>3449608.34</v>
      </c>
      <c r="U12" s="355">
        <f>$E$12-T12</f>
        <v>91724.479000000749</v>
      </c>
      <c r="V12" s="217">
        <v>3541332.8190000006</v>
      </c>
      <c r="W12" s="355">
        <f>W9*D12</f>
        <v>3394032.58</v>
      </c>
      <c r="X12" s="355">
        <f>$E$12-W12</f>
        <v>147300.23900000053</v>
      </c>
      <c r="Y12" s="355">
        <f>Y9*D12</f>
        <v>0</v>
      </c>
      <c r="Z12" s="355">
        <f>$E$12-Y12</f>
        <v>3541332.8190000006</v>
      </c>
    </row>
    <row r="13" spans="1:26" x14ac:dyDescent="0.25">
      <c r="A13" s="8"/>
      <c r="B13" s="8" t="s">
        <v>133</v>
      </c>
      <c r="C13" s="8"/>
      <c r="D13" s="7">
        <v>0.05</v>
      </c>
      <c r="E13" s="217">
        <v>8853332.0475000013</v>
      </c>
      <c r="F13" s="355">
        <f>F9*D13</f>
        <v>8605441.0834999997</v>
      </c>
      <c r="G13" s="355">
        <f>$E$13-F13</f>
        <v>247890.96400000155</v>
      </c>
      <c r="H13" s="355">
        <f>H9*$D$13</f>
        <v>8611629.1469999999</v>
      </c>
      <c r="I13" s="355">
        <f>$E$13-H13</f>
        <v>241702.90050000139</v>
      </c>
      <c r="J13" s="376">
        <f>J9*D13</f>
        <v>0</v>
      </c>
      <c r="K13" s="376">
        <f>$E$13-J13</f>
        <v>8853332.0475000013</v>
      </c>
      <c r="L13" s="355">
        <f>L9*D13</f>
        <v>8791376.5</v>
      </c>
      <c r="M13" s="355">
        <f>$E$13-L13</f>
        <v>61955.547500001267</v>
      </c>
      <c r="N13" s="355">
        <f>N9*D13</f>
        <v>8299913.1814999999</v>
      </c>
      <c r="O13" s="355">
        <f>$E$13-N13</f>
        <v>553418.86600000132</v>
      </c>
      <c r="P13" s="355">
        <f>P9*D13</f>
        <v>8453703.0500000007</v>
      </c>
      <c r="Q13" s="355">
        <f>$E$13-P13</f>
        <v>399628.99750000052</v>
      </c>
      <c r="R13" s="355">
        <f>R9*D13</f>
        <v>8542289.0500000007</v>
      </c>
      <c r="S13" s="355">
        <f>$E$13-R13</f>
        <v>311042.99750000052</v>
      </c>
      <c r="T13" s="355">
        <f>T9*D13</f>
        <v>8624020.8499999996</v>
      </c>
      <c r="U13" s="355">
        <f>$E$13-T13</f>
        <v>229311.19750000164</v>
      </c>
      <c r="V13" s="217">
        <v>8853332.0475000013</v>
      </c>
      <c r="W13" s="355">
        <f>W9*D13</f>
        <v>8485081.4500000011</v>
      </c>
      <c r="X13" s="355">
        <f>$E$13-W13</f>
        <v>368250.59750000015</v>
      </c>
      <c r="Y13" s="355">
        <f>Y9*D13</f>
        <v>0</v>
      </c>
      <c r="Z13" s="355">
        <f>$E$13-Y13</f>
        <v>8853332.0475000013</v>
      </c>
    </row>
    <row r="14" spans="1:26" x14ac:dyDescent="0.25">
      <c r="A14" s="8"/>
      <c r="B14" s="8" t="s">
        <v>135</v>
      </c>
      <c r="C14" s="8"/>
      <c r="D14" s="7">
        <v>0.19</v>
      </c>
      <c r="E14" s="217">
        <v>1682133.0890250003</v>
      </c>
      <c r="F14" s="355">
        <f>F13*D14</f>
        <v>1635033.805865</v>
      </c>
      <c r="G14" s="355">
        <f>$E$14-F14</f>
        <v>47099.283160000341</v>
      </c>
      <c r="H14" s="355">
        <f>H13*$D$14</f>
        <v>1636209.5379300001</v>
      </c>
      <c r="I14" s="355">
        <f>$E$14-H14</f>
        <v>45923.551095000235</v>
      </c>
      <c r="J14" s="376">
        <f>J13*D14</f>
        <v>0</v>
      </c>
      <c r="K14" s="376">
        <f>$E$14-J14</f>
        <v>1682133.0890250003</v>
      </c>
      <c r="L14" s="355">
        <f>L13*D14</f>
        <v>1670361.5349999999</v>
      </c>
      <c r="M14" s="355">
        <f>$E$14-L14</f>
        <v>11771.554025000427</v>
      </c>
      <c r="N14" s="355">
        <f>N13*D14</f>
        <v>1576983.5044849999</v>
      </c>
      <c r="O14" s="355">
        <f>$E$14-N14</f>
        <v>105149.58454000042</v>
      </c>
      <c r="P14" s="355">
        <f>P13*D14</f>
        <v>1606203.5795000002</v>
      </c>
      <c r="Q14" s="355">
        <f>$E$14-P14</f>
        <v>75929.509525000118</v>
      </c>
      <c r="R14" s="355">
        <f>R13*D14</f>
        <v>1623034.9195000001</v>
      </c>
      <c r="S14" s="355">
        <f>$E$14-R14</f>
        <v>59098.169525000267</v>
      </c>
      <c r="T14" s="355">
        <f>T13*D14</f>
        <v>1638563.9615</v>
      </c>
      <c r="U14" s="355">
        <f>$E$14-T14</f>
        <v>43569.127525000367</v>
      </c>
      <c r="V14" s="217">
        <v>1682133.0890250003</v>
      </c>
      <c r="W14" s="355">
        <f>W13*D14</f>
        <v>1612165.4755000002</v>
      </c>
      <c r="X14" s="355">
        <f>$E$14-W14</f>
        <v>69967.613525000168</v>
      </c>
      <c r="Y14" s="355">
        <f>Y13*D14</f>
        <v>0</v>
      </c>
      <c r="Z14" s="355">
        <f>$E$14-Y14</f>
        <v>1682133.0890250003</v>
      </c>
    </row>
    <row r="15" spans="1:26" s="16" customFormat="1" x14ac:dyDescent="0.25">
      <c r="A15" s="13"/>
      <c r="B15" s="439" t="s">
        <v>129</v>
      </c>
      <c r="C15" s="439"/>
      <c r="D15" s="439"/>
      <c r="E15" s="354">
        <f>SUM(E11:E14)</f>
        <v>37095461.279025003</v>
      </c>
      <c r="F15" s="356">
        <f>SUM(F11:F14)</f>
        <v>36056798.139864996</v>
      </c>
      <c r="G15" s="356">
        <f>$E$15-F15</f>
        <v>1038663.1391600072</v>
      </c>
      <c r="H15" s="356">
        <f>SUM(H11:H14)</f>
        <v>36082726.125929996</v>
      </c>
      <c r="I15" s="356">
        <f>$E$15-H15</f>
        <v>1012735.1530950069</v>
      </c>
      <c r="J15" s="377">
        <f>SUM(J11:J14)</f>
        <v>0</v>
      </c>
      <c r="K15" s="376">
        <f>$E$15-J15</f>
        <v>37095461.279025003</v>
      </c>
      <c r="L15" s="356">
        <f>SUM(L11:L14)</f>
        <v>36835867.534999996</v>
      </c>
      <c r="M15" s="356">
        <f>$E$15-L15</f>
        <v>259593.74402500689</v>
      </c>
      <c r="N15" s="362">
        <f>SUM(N11:N14)</f>
        <v>34776636.230485</v>
      </c>
      <c r="O15" s="356">
        <f>$E$15-N15</f>
        <v>2318825.0485400036</v>
      </c>
      <c r="P15" s="356">
        <f>SUM(P11:P14)</f>
        <v>35421015.7795</v>
      </c>
      <c r="Q15" s="356">
        <f>$E$15-P15</f>
        <v>1674445.4995250031</v>
      </c>
      <c r="R15" s="362">
        <f>SUM(R11:R14)</f>
        <v>35792191.119500004</v>
      </c>
      <c r="S15" s="356">
        <f>$E$15-R15</f>
        <v>1303270.1595249996</v>
      </c>
      <c r="T15" s="362">
        <f>SUM(T11:T14)</f>
        <v>36134647.361499995</v>
      </c>
      <c r="U15" s="356">
        <f>$E$15-T15</f>
        <v>960813.91752500832</v>
      </c>
      <c r="V15" s="354">
        <f>SUM(V11:V14)</f>
        <v>37095461.279025003</v>
      </c>
      <c r="W15" s="362">
        <f>SUM(W11:W14)</f>
        <v>35552491.275500007</v>
      </c>
      <c r="X15" s="356">
        <f>$E$15-W15</f>
        <v>1542970.0035249963</v>
      </c>
      <c r="Y15" s="362">
        <f>SUM(Y11:Y14)</f>
        <v>0</v>
      </c>
      <c r="Z15" s="356">
        <f>$E$15-Y15</f>
        <v>37095461.279025003</v>
      </c>
    </row>
    <row r="16" spans="1:26" s="17" customFormat="1" ht="16.5" x14ac:dyDescent="0.25">
      <c r="A16" s="441" t="s">
        <v>130</v>
      </c>
      <c r="B16" s="441"/>
      <c r="C16" s="441"/>
      <c r="D16" s="441"/>
      <c r="E16" s="18">
        <f>E9+E15</f>
        <v>214162102.22902501</v>
      </c>
      <c r="F16" s="360">
        <f>F9+F15</f>
        <v>208165619.809865</v>
      </c>
      <c r="G16" s="357">
        <f>$E$16-F16</f>
        <v>5996482.4191600084</v>
      </c>
      <c r="H16" s="361">
        <f>H9+H15</f>
        <v>208315309.06593001</v>
      </c>
      <c r="I16" s="357">
        <f>$E$16-H16</f>
        <v>5846793.1630949974</v>
      </c>
      <c r="J16" s="377">
        <f>J9+J15</f>
        <v>0</v>
      </c>
      <c r="K16" s="376">
        <f>$E$16-J16</f>
        <v>214162102.22902501</v>
      </c>
      <c r="L16" s="357">
        <f>L9+L15</f>
        <v>212663397.535</v>
      </c>
      <c r="M16" s="357">
        <f>$E$16-L16</f>
        <v>1498704.6940250099</v>
      </c>
      <c r="N16" s="361">
        <f>N9+N15</f>
        <v>200774899.86048499</v>
      </c>
      <c r="O16" s="357">
        <f>$E$16-N16</f>
        <v>13387202.368540019</v>
      </c>
      <c r="P16" s="357">
        <f>P9+P15</f>
        <v>204495076.77950001</v>
      </c>
      <c r="Q16" s="357">
        <f>$E$16-P16</f>
        <v>9667025.4495249987</v>
      </c>
      <c r="R16" s="361">
        <f>R9+R15</f>
        <v>206637972.11950001</v>
      </c>
      <c r="S16" s="357">
        <f>$E$16-R16</f>
        <v>7524130.1095249951</v>
      </c>
      <c r="T16" s="361">
        <f>T9+T15</f>
        <v>208615064.36149999</v>
      </c>
      <c r="U16" s="357">
        <f>$E$16-T16</f>
        <v>5547037.8675250113</v>
      </c>
      <c r="V16" s="18">
        <f>V9+V15</f>
        <v>214162102.22902501</v>
      </c>
      <c r="W16" s="361">
        <f>W9+W15</f>
        <v>205254120.2755</v>
      </c>
      <c r="X16" s="357">
        <f>$E$16-W16</f>
        <v>8907981.9535250068</v>
      </c>
      <c r="Y16" s="361">
        <f>Y9+Y15</f>
        <v>0</v>
      </c>
      <c r="Z16" s="357">
        <f>$E$16-Y16</f>
        <v>214162102.22902501</v>
      </c>
    </row>
    <row r="17" spans="1:26" x14ac:dyDescent="0.25">
      <c r="F17" s="23"/>
      <c r="H17" s="23"/>
      <c r="J17" s="378"/>
      <c r="L17" s="23"/>
      <c r="N17" s="23"/>
      <c r="P17" s="23"/>
      <c r="R17" s="23"/>
      <c r="T17" s="23"/>
      <c r="W17" s="23"/>
      <c r="Y17" s="23"/>
    </row>
    <row r="18" spans="1:26" x14ac:dyDescent="0.25">
      <c r="F18" s="23"/>
      <c r="H18" s="23"/>
      <c r="J18" s="378"/>
      <c r="L18" s="23"/>
      <c r="N18" s="23"/>
      <c r="P18" s="23"/>
      <c r="R18" s="23"/>
      <c r="T18" s="23"/>
      <c r="W18" s="23"/>
      <c r="Y18" s="23"/>
    </row>
    <row r="19" spans="1:26" ht="40.5" x14ac:dyDescent="0.25">
      <c r="A19" s="11" t="s">
        <v>127</v>
      </c>
      <c r="B19" s="12" t="s">
        <v>7</v>
      </c>
      <c r="C19" s="12" t="s">
        <v>4</v>
      </c>
      <c r="D19" s="12" t="s">
        <v>138</v>
      </c>
      <c r="E19" s="14" t="s">
        <v>137</v>
      </c>
      <c r="F19" s="12" t="str">
        <f>F1</f>
        <v>PROINCO INGENIERIA S.A.S</v>
      </c>
      <c r="G19" s="12" t="s">
        <v>271</v>
      </c>
      <c r="H19" s="12" t="str">
        <f>H1</f>
        <v>CONSORCIO FISCALÍA 2023</v>
      </c>
      <c r="I19" s="12" t="s">
        <v>271</v>
      </c>
      <c r="J19" s="375" t="str">
        <f>J1</f>
        <v>CONINCAG SAS</v>
      </c>
      <c r="K19" s="375" t="s">
        <v>271</v>
      </c>
      <c r="L19" s="12" t="str">
        <f>L1</f>
        <v>G&amp;V ASOCIADOS S.A.S</v>
      </c>
      <c r="M19" s="12" t="s">
        <v>271</v>
      </c>
      <c r="N19" s="12" t="str">
        <f>N1</f>
        <v>CONSORCIO DJPAI</v>
      </c>
      <c r="O19" s="12" t="s">
        <v>271</v>
      </c>
      <c r="P19" s="12" t="str">
        <f>P1</f>
        <v>CONSORCIO OBRAS INGEMQ</v>
      </c>
      <c r="Q19" s="12" t="s">
        <v>271</v>
      </c>
      <c r="R19" s="12" t="str">
        <f>R1</f>
        <v>CONSORCIO GEBAR-ADECUACIONES</v>
      </c>
      <c r="S19" s="12" t="s">
        <v>271</v>
      </c>
      <c r="T19" s="12" t="str">
        <f>T1</f>
        <v>SAFRID INGENIERIA SAS</v>
      </c>
      <c r="U19" s="12" t="s">
        <v>271</v>
      </c>
      <c r="V19" s="14" t="s">
        <v>137</v>
      </c>
      <c r="W19" s="12" t="str">
        <f>W1</f>
        <v>CONSORCIO LA ESPERANZA</v>
      </c>
      <c r="X19" s="12" t="s">
        <v>271</v>
      </c>
      <c r="Y19" s="12">
        <f>Y1</f>
        <v>0</v>
      </c>
      <c r="Z19" s="12" t="s">
        <v>271</v>
      </c>
    </row>
    <row r="20" spans="1:26" x14ac:dyDescent="0.25">
      <c r="A20" s="216">
        <v>1</v>
      </c>
      <c r="B20" s="5" t="s">
        <v>163</v>
      </c>
      <c r="C20" s="6" t="s">
        <v>4</v>
      </c>
      <c r="D20" s="3">
        <v>1</v>
      </c>
      <c r="E20" s="217">
        <v>1735185.7000000002</v>
      </c>
      <c r="F20" s="355">
        <v>1686605</v>
      </c>
      <c r="G20" s="355">
        <f>$E$20-F20</f>
        <v>48580.700000000186</v>
      </c>
      <c r="H20" s="355">
        <v>1687820</v>
      </c>
      <c r="I20" s="355">
        <f>$E$20-H20</f>
        <v>47365.700000000186</v>
      </c>
      <c r="J20" s="376"/>
      <c r="K20" s="376">
        <f>$E$20-J20</f>
        <v>1735185.7000000002</v>
      </c>
      <c r="L20" s="355">
        <v>1723043</v>
      </c>
      <c r="M20" s="355">
        <f>$E$20-L20</f>
        <v>12142.700000000186</v>
      </c>
      <c r="N20" s="355">
        <v>1657073</v>
      </c>
      <c r="O20" s="355">
        <f>$E$20-N20</f>
        <v>78112.700000000186</v>
      </c>
      <c r="P20" s="355">
        <v>1687766</v>
      </c>
      <c r="Q20" s="355">
        <f>$E$20-P20</f>
        <v>47419.700000000186</v>
      </c>
      <c r="R20" s="355">
        <v>1674228</v>
      </c>
      <c r="S20" s="355">
        <f>$E$20-R20</f>
        <v>60957.700000000186</v>
      </c>
      <c r="T20" s="355">
        <v>1690249</v>
      </c>
      <c r="U20" s="355">
        <f>$E$20-T20</f>
        <v>44936.700000000186</v>
      </c>
      <c r="V20" s="217">
        <v>1735185.7000000002</v>
      </c>
      <c r="W20" s="355">
        <v>1694063</v>
      </c>
      <c r="X20" s="355">
        <f>$E$20-W20</f>
        <v>41122.700000000186</v>
      </c>
      <c r="Y20" s="355"/>
      <c r="Z20" s="355">
        <f>$E$20-Y20</f>
        <v>1735185.7000000002</v>
      </c>
    </row>
    <row r="21" spans="1:26" x14ac:dyDescent="0.25">
      <c r="A21" s="216">
        <v>2</v>
      </c>
      <c r="B21" s="5" t="s">
        <v>164</v>
      </c>
      <c r="C21" s="6" t="s">
        <v>4</v>
      </c>
      <c r="D21" s="3">
        <v>1</v>
      </c>
      <c r="E21" s="217">
        <v>2304172.5</v>
      </c>
      <c r="F21" s="355">
        <v>2239656</v>
      </c>
      <c r="G21" s="355">
        <f>$E$21-F21</f>
        <v>64516.5</v>
      </c>
      <c r="H21" s="355">
        <v>2241269</v>
      </c>
      <c r="I21" s="355">
        <f>$E$21-H21</f>
        <v>62903.5</v>
      </c>
      <c r="J21" s="376"/>
      <c r="K21" s="376">
        <f>$E$21-J21</f>
        <v>2304172.5</v>
      </c>
      <c r="L21" s="355">
        <v>2288044</v>
      </c>
      <c r="M21" s="355">
        <f>$E$21-L21</f>
        <v>16128.5</v>
      </c>
      <c r="N21" s="355">
        <v>2200483</v>
      </c>
      <c r="O21" s="355">
        <f>$E$21-N21</f>
        <v>103689.5</v>
      </c>
      <c r="P21" s="355">
        <v>2241243</v>
      </c>
      <c r="Q21" s="355">
        <f>$E$21-P21</f>
        <v>62929.5</v>
      </c>
      <c r="R21" s="355">
        <v>2223221</v>
      </c>
      <c r="S21" s="355">
        <f>$E$21-R21</f>
        <v>80951.5</v>
      </c>
      <c r="T21" s="355">
        <v>2244495</v>
      </c>
      <c r="U21" s="355">
        <f>$E$21-T21</f>
        <v>59677.5</v>
      </c>
      <c r="V21" s="217">
        <v>2304172.5</v>
      </c>
      <c r="W21" s="355">
        <v>2249565</v>
      </c>
      <c r="X21" s="355">
        <f>$E$21-W21</f>
        <v>54607.5</v>
      </c>
      <c r="Y21" s="355"/>
      <c r="Z21" s="355">
        <f>$E$21-Y21</f>
        <v>2304172.5</v>
      </c>
    </row>
    <row r="22" spans="1:26" x14ac:dyDescent="0.25">
      <c r="A22" s="216">
        <v>3</v>
      </c>
      <c r="B22" s="5" t="s">
        <v>167</v>
      </c>
      <c r="C22" s="6" t="s">
        <v>4</v>
      </c>
      <c r="D22" s="3">
        <v>1</v>
      </c>
      <c r="E22" s="217">
        <v>154385.60000000001</v>
      </c>
      <c r="F22" s="355">
        <v>150062</v>
      </c>
      <c r="G22" s="355">
        <f>$E$22-F22</f>
        <v>4323.6000000000058</v>
      </c>
      <c r="H22" s="355">
        <v>150171</v>
      </c>
      <c r="I22" s="355">
        <f>$E$22-H22</f>
        <v>4214.6000000000058</v>
      </c>
      <c r="J22" s="376"/>
      <c r="K22" s="376">
        <f>$E$22-J22</f>
        <v>154385.60000000001</v>
      </c>
      <c r="L22" s="355">
        <v>153305</v>
      </c>
      <c r="M22" s="355">
        <f>$E$22-L22</f>
        <v>1080.6000000000058</v>
      </c>
      <c r="N22" s="355">
        <v>147436</v>
      </c>
      <c r="O22" s="355">
        <f>$E$22-N22</f>
        <v>6949.6000000000058</v>
      </c>
      <c r="P22" s="355">
        <v>150168</v>
      </c>
      <c r="Q22" s="355">
        <f>$E$22-P22</f>
        <v>4217.6000000000058</v>
      </c>
      <c r="R22" s="355">
        <v>148961</v>
      </c>
      <c r="S22" s="355">
        <f>$E$22-R22</f>
        <v>5424.6000000000058</v>
      </c>
      <c r="T22" s="355">
        <v>150386</v>
      </c>
      <c r="U22" s="355">
        <f>$E$22-T22</f>
        <v>3999.6000000000058</v>
      </c>
      <c r="V22" s="217">
        <v>154385.60000000001</v>
      </c>
      <c r="W22" s="355">
        <v>150726</v>
      </c>
      <c r="X22" s="355">
        <f>$E$22-W22</f>
        <v>3659.6000000000058</v>
      </c>
      <c r="Y22" s="355"/>
      <c r="Z22" s="355">
        <f>$E$22-Y22</f>
        <v>154385.60000000001</v>
      </c>
    </row>
    <row r="23" spans="1:26" x14ac:dyDescent="0.25">
      <c r="A23" s="216">
        <v>4</v>
      </c>
      <c r="B23" s="5" t="s">
        <v>169</v>
      </c>
      <c r="C23" s="6" t="s">
        <v>4</v>
      </c>
      <c r="D23" s="3">
        <v>1</v>
      </c>
      <c r="E23" s="217">
        <v>170031.065</v>
      </c>
      <c r="F23" s="355">
        <v>165270</v>
      </c>
      <c r="G23" s="355">
        <f>$E$23-F23</f>
        <v>4761.0650000000023</v>
      </c>
      <c r="H23" s="355">
        <v>165390</v>
      </c>
      <c r="I23" s="355">
        <f>$E$23-H23</f>
        <v>4641.0650000000023</v>
      </c>
      <c r="J23" s="376"/>
      <c r="K23" s="376">
        <f>$E$23-J23</f>
        <v>170031.065</v>
      </c>
      <c r="L23" s="355">
        <v>168840</v>
      </c>
      <c r="M23" s="355">
        <f>$E$23-L23</f>
        <v>1191.0650000000023</v>
      </c>
      <c r="N23" s="355">
        <v>162377</v>
      </c>
      <c r="O23" s="355">
        <f>$E$23-N23</f>
        <v>7654.0650000000023</v>
      </c>
      <c r="P23" s="355">
        <v>165385</v>
      </c>
      <c r="Q23" s="355">
        <f>$E$23-P23</f>
        <v>4646.0650000000023</v>
      </c>
      <c r="R23" s="355">
        <v>164058</v>
      </c>
      <c r="S23" s="355">
        <f>$E$23-R23</f>
        <v>5973.0650000000023</v>
      </c>
      <c r="T23" s="355">
        <v>165626</v>
      </c>
      <c r="U23" s="355">
        <f>$E$23-T23</f>
        <v>4405.0650000000023</v>
      </c>
      <c r="V23" s="217">
        <v>170031.065</v>
      </c>
      <c r="W23" s="355">
        <v>166001</v>
      </c>
      <c r="X23" s="355">
        <f>$E$23-W23</f>
        <v>4030.0650000000023</v>
      </c>
      <c r="Y23" s="355"/>
      <c r="Z23" s="355">
        <f>$E$23-Y23</f>
        <v>170031.065</v>
      </c>
    </row>
    <row r="24" spans="1:26" x14ac:dyDescent="0.25">
      <c r="A24" s="216">
        <v>5</v>
      </c>
      <c r="B24" s="5" t="s">
        <v>185</v>
      </c>
      <c r="C24" s="6" t="s">
        <v>4</v>
      </c>
      <c r="D24" s="3">
        <v>1</v>
      </c>
      <c r="E24" s="217">
        <v>2993035.75</v>
      </c>
      <c r="F24" s="355">
        <v>2909233</v>
      </c>
      <c r="G24" s="355">
        <f>$E$24-F24</f>
        <v>83802.75</v>
      </c>
      <c r="H24" s="355">
        <v>2911329</v>
      </c>
      <c r="I24" s="355">
        <f>$E$24-H24</f>
        <v>81706.75</v>
      </c>
      <c r="J24" s="376"/>
      <c r="K24" s="376">
        <f>$E$24-J24</f>
        <v>2993035.75</v>
      </c>
      <c r="L24" s="355">
        <v>2972084</v>
      </c>
      <c r="M24" s="355">
        <f>$E$24-L24</f>
        <v>20951.75</v>
      </c>
      <c r="N24" s="355">
        <v>2858334</v>
      </c>
      <c r="O24" s="355">
        <f>$E$24-N24</f>
        <v>134701.75</v>
      </c>
      <c r="P24" s="355">
        <v>2911281</v>
      </c>
      <c r="Q24" s="355">
        <f>$E$24-P24</f>
        <v>81754.75</v>
      </c>
      <c r="R24" s="355">
        <v>2887886</v>
      </c>
      <c r="S24" s="355">
        <f>$E$24-R24</f>
        <v>105149.75</v>
      </c>
      <c r="T24" s="355">
        <v>2915520</v>
      </c>
      <c r="U24" s="355">
        <f>$E$24-T24</f>
        <v>77515.75</v>
      </c>
      <c r="V24" s="217">
        <v>2993035.75</v>
      </c>
      <c r="W24" s="355">
        <v>2922101</v>
      </c>
      <c r="X24" s="355">
        <f>$E$24-W24</f>
        <v>70934.75</v>
      </c>
      <c r="Y24" s="355"/>
      <c r="Z24" s="355">
        <f>$E$24-Y24</f>
        <v>2993035.75</v>
      </c>
    </row>
    <row r="25" spans="1:26" ht="27" x14ac:dyDescent="0.25">
      <c r="A25" s="216">
        <v>6</v>
      </c>
      <c r="B25" s="5" t="s">
        <v>201</v>
      </c>
      <c r="C25" s="6" t="s">
        <v>4</v>
      </c>
      <c r="D25" s="3">
        <v>1</v>
      </c>
      <c r="E25" s="217">
        <v>8807702.4499999993</v>
      </c>
      <c r="F25" s="355">
        <v>8561091</v>
      </c>
      <c r="G25" s="355">
        <f>$E$25-F25</f>
        <v>246611.44999999925</v>
      </c>
      <c r="H25" s="355">
        <v>8567258</v>
      </c>
      <c r="I25" s="355">
        <f>$E$25-H25</f>
        <v>240444.44999999925</v>
      </c>
      <c r="J25" s="376"/>
      <c r="K25" s="376">
        <f>$E$25-J25</f>
        <v>8807702.4499999993</v>
      </c>
      <c r="L25" s="355">
        <v>8746054</v>
      </c>
      <c r="M25" s="355">
        <f>$E$25-L25</f>
        <v>61648.449999999255</v>
      </c>
      <c r="N25" s="355">
        <v>8411347</v>
      </c>
      <c r="O25" s="355">
        <f>$E$25-N25</f>
        <v>396355.44999999925</v>
      </c>
      <c r="P25" s="355">
        <v>8567152</v>
      </c>
      <c r="Q25" s="355">
        <f>$E$25-P25</f>
        <v>240550.44999999925</v>
      </c>
      <c r="R25" s="355">
        <v>8498271</v>
      </c>
      <c r="S25" s="355">
        <f>$E$25-R25</f>
        <v>309431.44999999925</v>
      </c>
      <c r="T25" s="355">
        <v>8579584</v>
      </c>
      <c r="U25" s="355">
        <f>$E$25-T25</f>
        <v>228118.44999999925</v>
      </c>
      <c r="V25" s="217">
        <v>8807702.4499999993</v>
      </c>
      <c r="W25" s="355">
        <v>8598962</v>
      </c>
      <c r="X25" s="355">
        <f>$E$25-W25</f>
        <v>208740.44999999925</v>
      </c>
      <c r="Y25" s="355"/>
      <c r="Z25" s="355">
        <f>$E$25-Y25</f>
        <v>8807702.4499999993</v>
      </c>
    </row>
    <row r="26" spans="1:26" ht="27" x14ac:dyDescent="0.25">
      <c r="A26" s="216">
        <v>7</v>
      </c>
      <c r="B26" s="5" t="s">
        <v>367</v>
      </c>
      <c r="C26" s="6" t="s">
        <v>4</v>
      </c>
      <c r="D26" s="3">
        <v>1</v>
      </c>
      <c r="E26" s="217">
        <v>1620701.3000000003</v>
      </c>
      <c r="F26" s="355">
        <v>1575320</v>
      </c>
      <c r="G26" s="355">
        <f>$E$26-F26</f>
        <v>45381.300000000279</v>
      </c>
      <c r="H26" s="355">
        <v>1576456</v>
      </c>
      <c r="I26" s="355">
        <f>$E$26-H26</f>
        <v>44245.300000000279</v>
      </c>
      <c r="J26" s="376"/>
      <c r="K26" s="376">
        <f>$E$26-J26</f>
        <v>1620701.3000000003</v>
      </c>
      <c r="L26" s="355">
        <v>1609356</v>
      </c>
      <c r="M26" s="355">
        <f>$E$26-L26</f>
        <v>11345.300000000279</v>
      </c>
      <c r="N26" s="355">
        <v>1547753</v>
      </c>
      <c r="O26" s="355">
        <f>$E$26-N26</f>
        <v>72948.300000000279</v>
      </c>
      <c r="P26" s="355">
        <v>1576423</v>
      </c>
      <c r="Q26" s="355">
        <f>$E$26-P26</f>
        <v>44278.300000000279</v>
      </c>
      <c r="R26" s="355">
        <v>1563760</v>
      </c>
      <c r="S26" s="355">
        <f>$E$26-R26</f>
        <v>56941.300000000279</v>
      </c>
      <c r="T26" s="355">
        <v>1578724</v>
      </c>
      <c r="U26" s="355">
        <f>$E$26-T26</f>
        <v>41977.300000000279</v>
      </c>
      <c r="V26" s="217">
        <v>1620701.3</v>
      </c>
      <c r="W26" s="355">
        <v>1582289</v>
      </c>
      <c r="X26" s="355">
        <f>$E$26-W26</f>
        <v>38412.300000000279</v>
      </c>
      <c r="Y26" s="355"/>
      <c r="Z26" s="355">
        <f>$E$26-Y26</f>
        <v>1620701.3000000003</v>
      </c>
    </row>
    <row r="27" spans="1:26" x14ac:dyDescent="0.25">
      <c r="A27" s="216">
        <v>8</v>
      </c>
      <c r="B27" s="4" t="s">
        <v>216</v>
      </c>
      <c r="C27" s="6" t="s">
        <v>4</v>
      </c>
      <c r="D27" s="3">
        <v>1</v>
      </c>
      <c r="E27" s="217">
        <v>892909.04999999993</v>
      </c>
      <c r="F27" s="355">
        <v>867907</v>
      </c>
      <c r="G27" s="355">
        <f>$E$27-F27</f>
        <v>25002.04999999993</v>
      </c>
      <c r="H27" s="355">
        <v>868532</v>
      </c>
      <c r="I27" s="355">
        <f>$E$27-H27</f>
        <v>24377.04999999993</v>
      </c>
      <c r="J27" s="376"/>
      <c r="K27" s="376">
        <f>$E$27-J27</f>
        <v>892909.04999999993</v>
      </c>
      <c r="L27" s="355">
        <v>886657</v>
      </c>
      <c r="M27" s="355">
        <f>$E$27-L27</f>
        <v>6252.0499999999302</v>
      </c>
      <c r="N27" s="355">
        <v>852721</v>
      </c>
      <c r="O27" s="355">
        <f>$E$27-N27</f>
        <v>40188.04999999993</v>
      </c>
      <c r="P27" s="355">
        <v>868513</v>
      </c>
      <c r="Q27" s="355">
        <f>$E$27-P27</f>
        <v>24396.04999999993</v>
      </c>
      <c r="R27" s="355">
        <v>861537</v>
      </c>
      <c r="S27" s="355">
        <f>$E$27-R27</f>
        <v>31372.04999999993</v>
      </c>
      <c r="T27" s="355">
        <v>869784</v>
      </c>
      <c r="U27" s="355">
        <f>$E$27-T27</f>
        <v>23125.04999999993</v>
      </c>
      <c r="V27" s="217">
        <v>892909.04999999993</v>
      </c>
      <c r="W27" s="355">
        <v>871746</v>
      </c>
      <c r="X27" s="355">
        <f>$E$27-W27</f>
        <v>21163.04999999993</v>
      </c>
      <c r="Y27" s="355"/>
      <c r="Z27" s="355">
        <f>$E$27-Y27</f>
        <v>892909.04999999993</v>
      </c>
    </row>
    <row r="28" spans="1:26" ht="27" x14ac:dyDescent="0.25">
      <c r="A28" s="216">
        <v>9</v>
      </c>
      <c r="B28" s="4" t="s">
        <v>241</v>
      </c>
      <c r="C28" s="6" t="s">
        <v>4</v>
      </c>
      <c r="D28" s="3">
        <v>1</v>
      </c>
      <c r="E28" s="217">
        <v>8239266.8000000007</v>
      </c>
      <c r="F28" s="355">
        <v>8008568</v>
      </c>
      <c r="G28" s="355">
        <f>$E$28-F28</f>
        <v>230698.80000000075</v>
      </c>
      <c r="H28" s="355">
        <v>8014338</v>
      </c>
      <c r="I28" s="355">
        <f>$E$28-H28</f>
        <v>224928.80000000075</v>
      </c>
      <c r="J28" s="376"/>
      <c r="K28" s="376">
        <f>$E$28-J28</f>
        <v>8239266.8000000007</v>
      </c>
      <c r="L28" s="355">
        <v>8181597</v>
      </c>
      <c r="M28" s="355">
        <f>$E$28-L28</f>
        <v>57669.800000000745</v>
      </c>
      <c r="N28" s="355">
        <v>7868483</v>
      </c>
      <c r="O28" s="355">
        <f>$E$28-N28</f>
        <v>370783.80000000075</v>
      </c>
      <c r="P28" s="355">
        <v>8014236</v>
      </c>
      <c r="Q28" s="355">
        <f>$E$28-P28</f>
        <v>225030.80000000075</v>
      </c>
      <c r="R28" s="355">
        <v>7949805</v>
      </c>
      <c r="S28" s="355">
        <f>$E$28-R28</f>
        <v>289461.80000000075</v>
      </c>
      <c r="T28" s="355">
        <v>8025875</v>
      </c>
      <c r="U28" s="355">
        <f>$E$28-T28</f>
        <v>213391.80000000075</v>
      </c>
      <c r="V28" s="217">
        <v>8239266.8000000007</v>
      </c>
      <c r="W28" s="355">
        <v>8043999</v>
      </c>
      <c r="X28" s="355">
        <f>$E$28-W28</f>
        <v>195267.80000000075</v>
      </c>
      <c r="Y28" s="355"/>
      <c r="Z28" s="355">
        <f>$E$28-Y28</f>
        <v>8239266.8000000007</v>
      </c>
    </row>
    <row r="29" spans="1:26" ht="27" x14ac:dyDescent="0.25">
      <c r="A29" s="216">
        <v>10</v>
      </c>
      <c r="B29" s="4" t="s">
        <v>252</v>
      </c>
      <c r="C29" s="6" t="s">
        <v>4</v>
      </c>
      <c r="D29" s="3">
        <v>1</v>
      </c>
      <c r="E29" s="217">
        <v>7372103.9999999991</v>
      </c>
      <c r="F29" s="355">
        <v>7165688</v>
      </c>
      <c r="G29" s="355">
        <f>$E$29-F29</f>
        <v>206415.99999999907</v>
      </c>
      <c r="H29" s="355">
        <v>7170852</v>
      </c>
      <c r="I29" s="355">
        <f>$E$29-H29</f>
        <v>201251.99999999907</v>
      </c>
      <c r="J29" s="376"/>
      <c r="K29" s="376">
        <f>$E$29-J29</f>
        <v>7372103.9999999991</v>
      </c>
      <c r="L29" s="355">
        <v>7320501</v>
      </c>
      <c r="M29" s="355">
        <f>$E$29-L29</f>
        <v>51602.999999999069</v>
      </c>
      <c r="N29" s="355">
        <v>7040350</v>
      </c>
      <c r="O29" s="355">
        <f>$E$29-N29</f>
        <v>331753.99999999907</v>
      </c>
      <c r="P29" s="355">
        <v>7170757</v>
      </c>
      <c r="Q29" s="355">
        <f>$E$29-P29</f>
        <v>201346.99999999907</v>
      </c>
      <c r="R29" s="355">
        <v>7113106</v>
      </c>
      <c r="S29" s="355">
        <f>$E$29-R29</f>
        <v>258997.99999999907</v>
      </c>
      <c r="T29" s="355">
        <v>7181171</v>
      </c>
      <c r="U29" s="355">
        <f>$E$29-T29</f>
        <v>190932.99999999907</v>
      </c>
      <c r="V29" s="217">
        <v>7372103.9999999991</v>
      </c>
      <c r="W29" s="355">
        <v>7197392</v>
      </c>
      <c r="X29" s="355">
        <f>$E$29-W29</f>
        <v>174711.99999999907</v>
      </c>
      <c r="Y29" s="355"/>
      <c r="Z29" s="355">
        <f>$E$29-Y29</f>
        <v>7372103.9999999991</v>
      </c>
    </row>
    <row r="30" spans="1:26" x14ac:dyDescent="0.25">
      <c r="A30" s="216">
        <v>11</v>
      </c>
      <c r="B30" s="5" t="s">
        <v>258</v>
      </c>
      <c r="C30" s="6" t="s">
        <v>4</v>
      </c>
      <c r="D30" s="3">
        <v>1</v>
      </c>
      <c r="E30" s="217">
        <v>3498106.95</v>
      </c>
      <c r="F30" s="355">
        <v>3400161</v>
      </c>
      <c r="G30" s="355">
        <f>$E$30-F30</f>
        <v>97945.950000000186</v>
      </c>
      <c r="H30" s="355">
        <v>3402610</v>
      </c>
      <c r="I30" s="355">
        <f>$E$30-H30</f>
        <v>95496.950000000186</v>
      </c>
      <c r="J30" s="376"/>
      <c r="K30" s="376">
        <f>$E$30-J30</f>
        <v>3498106.95</v>
      </c>
      <c r="L30" s="355">
        <v>3473620</v>
      </c>
      <c r="M30" s="355">
        <f>$E$30-L30</f>
        <v>24486.950000000186</v>
      </c>
      <c r="N30" s="355">
        <v>3340690</v>
      </c>
      <c r="O30" s="355">
        <f>$E$30-N30</f>
        <v>157416.95000000019</v>
      </c>
      <c r="P30" s="355">
        <v>3402570</v>
      </c>
      <c r="Q30" s="355">
        <f>$E$30-P30</f>
        <v>95536.950000000186</v>
      </c>
      <c r="R30" s="355">
        <v>3375209</v>
      </c>
      <c r="S30" s="355">
        <f>$E$30-R30</f>
        <v>122897.95000000019</v>
      </c>
      <c r="T30" s="355">
        <v>3407507</v>
      </c>
      <c r="U30" s="355">
        <f>$E$30-T30</f>
        <v>90599.950000000186</v>
      </c>
      <c r="V30" s="217">
        <v>3498106.95</v>
      </c>
      <c r="W30" s="355">
        <v>3415201</v>
      </c>
      <c r="X30" s="355">
        <f>$E$30-W30</f>
        <v>82905.950000000186</v>
      </c>
      <c r="Y30" s="355"/>
      <c r="Z30" s="355">
        <f>$E$30-Y30</f>
        <v>3498106.95</v>
      </c>
    </row>
    <row r="31" spans="1:26" ht="27" x14ac:dyDescent="0.25">
      <c r="A31" s="216">
        <v>12</v>
      </c>
      <c r="B31" s="5" t="s">
        <v>262</v>
      </c>
      <c r="C31" s="6" t="s">
        <v>4</v>
      </c>
      <c r="D31" s="3">
        <v>1</v>
      </c>
      <c r="E31" s="217">
        <v>217729.05000000002</v>
      </c>
      <c r="F31" s="355">
        <v>211632</v>
      </c>
      <c r="G31" s="355">
        <f>$E$31-F31</f>
        <v>6097.0500000000175</v>
      </c>
      <c r="H31" s="355">
        <v>211784</v>
      </c>
      <c r="I31" s="355">
        <f>$E$31-H31</f>
        <v>5945.0500000000175</v>
      </c>
      <c r="J31" s="376"/>
      <c r="K31" s="376">
        <f>$E$31-J31</f>
        <v>217729.05000000002</v>
      </c>
      <c r="L31" s="355">
        <v>216203</v>
      </c>
      <c r="M31" s="355">
        <f>$E$31-L31</f>
        <v>1526.0500000000175</v>
      </c>
      <c r="N31" s="355">
        <v>207925</v>
      </c>
      <c r="O31" s="355">
        <f>$E$31-N31</f>
        <v>9804.0500000000175</v>
      </c>
      <c r="P31" s="355">
        <v>211778</v>
      </c>
      <c r="Q31" s="355">
        <f>$E$31-P31</f>
        <v>5951.0500000000175</v>
      </c>
      <c r="R31" s="355">
        <v>210078</v>
      </c>
      <c r="S31" s="355">
        <f>$E$31-R31</f>
        <v>7651.0500000000175</v>
      </c>
      <c r="T31" s="355">
        <v>212089</v>
      </c>
      <c r="U31" s="355">
        <f>$E$31-T31</f>
        <v>5640.0500000000175</v>
      </c>
      <c r="V31" s="217">
        <v>217729.05000000002</v>
      </c>
      <c r="W31" s="355">
        <v>212567</v>
      </c>
      <c r="X31" s="355">
        <f>$E$31-W31</f>
        <v>5162.0500000000175</v>
      </c>
      <c r="Y31" s="355"/>
      <c r="Z31" s="355">
        <f>$E$31-Y31</f>
        <v>217729.05000000002</v>
      </c>
    </row>
    <row r="32" spans="1:26" x14ac:dyDescent="0.25">
      <c r="A32" s="439" t="s">
        <v>128</v>
      </c>
      <c r="B32" s="439"/>
      <c r="C32" s="439"/>
      <c r="D32" s="439"/>
      <c r="E32" s="354">
        <v>38005344</v>
      </c>
      <c r="F32" s="356">
        <f>SUM(F20:F31)</f>
        <v>36941193</v>
      </c>
      <c r="G32" s="356">
        <f>$E$32-F32</f>
        <v>1064151</v>
      </c>
      <c r="H32" s="362">
        <f>SUM(H20:H31)</f>
        <v>36967809</v>
      </c>
      <c r="I32" s="356">
        <f>$E$32-H32</f>
        <v>1037535</v>
      </c>
      <c r="J32" s="377">
        <f>SUM(J20:J31)</f>
        <v>0</v>
      </c>
      <c r="K32" s="376">
        <f>$E$32-J32</f>
        <v>38005344</v>
      </c>
      <c r="L32" s="362">
        <f>SUM(L20:L31)</f>
        <v>37739304</v>
      </c>
      <c r="M32" s="356">
        <f>$E$32-L32</f>
        <v>266040</v>
      </c>
      <c r="N32" s="362">
        <f>SUM(N20:N31)</f>
        <v>36294972</v>
      </c>
      <c r="O32" s="356">
        <f>$E$32-N32</f>
        <v>1710372</v>
      </c>
      <c r="P32" s="356">
        <f>SUM(P20:P31)</f>
        <v>36967272</v>
      </c>
      <c r="Q32" s="356">
        <f>$E$32-P32</f>
        <v>1038072</v>
      </c>
      <c r="R32" s="356">
        <f>SUM(R20:R31)</f>
        <v>36670120</v>
      </c>
      <c r="S32" s="356">
        <f>$E$32-R32</f>
        <v>1335224</v>
      </c>
      <c r="T32" s="356">
        <f>SUM(T20:T31)</f>
        <v>37021010</v>
      </c>
      <c r="U32" s="356">
        <f>$E$32-T32</f>
        <v>984334</v>
      </c>
      <c r="V32" s="354">
        <v>38005344</v>
      </c>
      <c r="W32" s="356">
        <f>SUM(W20:W31)</f>
        <v>37104612</v>
      </c>
      <c r="X32" s="356">
        <f>$E$32-W32</f>
        <v>900732</v>
      </c>
      <c r="Y32" s="356">
        <f>SUM(Y20:Y31)</f>
        <v>0</v>
      </c>
      <c r="Z32" s="356">
        <f>$E$32-Y32</f>
        <v>38005344</v>
      </c>
    </row>
    <row r="33" spans="1:26" x14ac:dyDescent="0.25">
      <c r="A33" s="440" t="s">
        <v>136</v>
      </c>
      <c r="B33" s="440"/>
      <c r="C33" s="440"/>
      <c r="D33" s="7">
        <v>0.2</v>
      </c>
      <c r="E33" s="217"/>
      <c r="F33" s="355"/>
      <c r="G33" s="355"/>
      <c r="H33" s="355"/>
      <c r="I33" s="355"/>
      <c r="J33" s="376"/>
      <c r="K33" s="376"/>
      <c r="L33" s="355"/>
      <c r="M33" s="355"/>
      <c r="N33" s="355"/>
      <c r="O33" s="355"/>
      <c r="P33" s="355"/>
      <c r="Q33" s="355"/>
      <c r="R33" s="355"/>
      <c r="S33" s="355"/>
      <c r="T33" s="355"/>
      <c r="U33" s="355"/>
      <c r="V33" s="217"/>
      <c r="W33" s="355"/>
      <c r="X33" s="355"/>
      <c r="Y33" s="355"/>
      <c r="Z33" s="355"/>
    </row>
    <row r="34" spans="1:26" x14ac:dyDescent="0.25">
      <c r="A34" s="8"/>
      <c r="B34" s="8" t="s">
        <v>134</v>
      </c>
      <c r="C34" s="8"/>
      <c r="D34" s="9">
        <v>0.13</v>
      </c>
      <c r="E34" s="217">
        <v>4940692.9279499995</v>
      </c>
      <c r="F34" s="355">
        <f>ROUND(F32*D34,0)</f>
        <v>4802355</v>
      </c>
      <c r="G34" s="355">
        <f>$E$34-F34</f>
        <v>138337.92794999946</v>
      </c>
      <c r="H34" s="355">
        <f>H32*D34</f>
        <v>4805815.17</v>
      </c>
      <c r="I34" s="355">
        <f>$E$34-H34</f>
        <v>134877.75794999953</v>
      </c>
      <c r="J34" s="376">
        <f>J32*D34</f>
        <v>0</v>
      </c>
      <c r="K34" s="376">
        <f>$E$34-J34</f>
        <v>4940692.9279499995</v>
      </c>
      <c r="L34" s="355">
        <f>L32*D34</f>
        <v>4906109.5200000005</v>
      </c>
      <c r="M34" s="355">
        <f>$E$34-L34</f>
        <v>34583.407949998975</v>
      </c>
      <c r="N34" s="355">
        <f>N32*D34</f>
        <v>4718346.3600000003</v>
      </c>
      <c r="O34" s="355">
        <f>$E$34-N34</f>
        <v>222346.56794999912</v>
      </c>
      <c r="P34" s="355">
        <f>P32*D34</f>
        <v>4805745.3600000003</v>
      </c>
      <c r="Q34" s="355">
        <f>$E$34-P34</f>
        <v>134947.56794999912</v>
      </c>
      <c r="R34" s="355">
        <f>R32*D34</f>
        <v>4767115.6000000006</v>
      </c>
      <c r="S34" s="355">
        <f>$E$34-R34</f>
        <v>173577.3279499989</v>
      </c>
      <c r="T34" s="355">
        <f>T32*D34</f>
        <v>4812731.3</v>
      </c>
      <c r="U34" s="355">
        <f>$E$34-T34</f>
        <v>127961.62794999965</v>
      </c>
      <c r="V34" s="217">
        <v>4940692.9279499995</v>
      </c>
      <c r="W34" s="355">
        <f>W32*D34</f>
        <v>4823599.5600000005</v>
      </c>
      <c r="X34" s="355">
        <f>$E$34-W34</f>
        <v>117093.36794999894</v>
      </c>
      <c r="Y34" s="355">
        <f>Y32*D34</f>
        <v>0</v>
      </c>
      <c r="Z34" s="355">
        <f>$E$34-Y34</f>
        <v>4940692.9279499995</v>
      </c>
    </row>
    <row r="35" spans="1:26" x14ac:dyDescent="0.25">
      <c r="A35" s="8"/>
      <c r="B35" s="8" t="s">
        <v>132</v>
      </c>
      <c r="C35" s="8"/>
      <c r="D35" s="7">
        <v>0.02</v>
      </c>
      <c r="E35" s="217">
        <v>760106.60429999989</v>
      </c>
      <c r="F35" s="355">
        <f>ROUND(F32*D35,0)</f>
        <v>738824</v>
      </c>
      <c r="G35" s="355">
        <f>$E$35-F35</f>
        <v>21282.60429999989</v>
      </c>
      <c r="H35" s="355">
        <f>H32*D35</f>
        <v>739356.18</v>
      </c>
      <c r="I35" s="355">
        <f>$E$35-H35</f>
        <v>20750.424299999839</v>
      </c>
      <c r="J35" s="376">
        <f>J32*D35</f>
        <v>0</v>
      </c>
      <c r="K35" s="376">
        <f>$E$35-J35</f>
        <v>760106.60429999989</v>
      </c>
      <c r="L35" s="355">
        <f>L32*D35</f>
        <v>754786.08</v>
      </c>
      <c r="M35" s="355">
        <f>$E$35-L35</f>
        <v>5320.5242999999318</v>
      </c>
      <c r="N35" s="355">
        <f>N32*D35</f>
        <v>725899.44000000006</v>
      </c>
      <c r="O35" s="355">
        <f>$E$35-N35</f>
        <v>34207.164299999829</v>
      </c>
      <c r="P35" s="355">
        <f>P32*D35</f>
        <v>739345.44000000006</v>
      </c>
      <c r="Q35" s="355">
        <f>$E$35-P35</f>
        <v>20761.164299999829</v>
      </c>
      <c r="R35" s="355">
        <f>R32*D35</f>
        <v>733402.4</v>
      </c>
      <c r="S35" s="355">
        <f>$E$35-R35</f>
        <v>26704.204299999867</v>
      </c>
      <c r="T35" s="355">
        <f>T32*D35</f>
        <v>740420.20000000007</v>
      </c>
      <c r="U35" s="355">
        <f>$E$35-T35</f>
        <v>19686.40429999982</v>
      </c>
      <c r="V35" s="217">
        <v>760106.60429999989</v>
      </c>
      <c r="W35" s="355">
        <f>W32*D35</f>
        <v>742092.24</v>
      </c>
      <c r="X35" s="355">
        <f>$E$35-W35</f>
        <v>18014.364299999899</v>
      </c>
      <c r="Y35" s="355">
        <f>Y32*D35</f>
        <v>0</v>
      </c>
      <c r="Z35" s="355">
        <f>$E$35-Y35</f>
        <v>760106.60429999989</v>
      </c>
    </row>
    <row r="36" spans="1:26" x14ac:dyDescent="0.25">
      <c r="A36" s="8"/>
      <c r="B36" s="8" t="s">
        <v>133</v>
      </c>
      <c r="C36" s="8"/>
      <c r="D36" s="7">
        <v>0.05</v>
      </c>
      <c r="E36" s="217">
        <v>1900266.5107499999</v>
      </c>
      <c r="F36" s="355">
        <f>ROUND(F32*D36,0)</f>
        <v>1847060</v>
      </c>
      <c r="G36" s="355">
        <f>$E$36-F36</f>
        <v>53206.510749999899</v>
      </c>
      <c r="H36" s="355">
        <f>H32*D36</f>
        <v>1848390.4500000002</v>
      </c>
      <c r="I36" s="355">
        <f>$E$36-H36</f>
        <v>51876.060749999713</v>
      </c>
      <c r="J36" s="376">
        <f>J32*D36</f>
        <v>0</v>
      </c>
      <c r="K36" s="376">
        <f>$E$36-J36</f>
        <v>1900266.5107499999</v>
      </c>
      <c r="L36" s="355">
        <f>L32*D36</f>
        <v>1886965.2000000002</v>
      </c>
      <c r="M36" s="355">
        <f>$E$36-L36</f>
        <v>13301.310749999713</v>
      </c>
      <c r="N36" s="355">
        <f>N32*D36</f>
        <v>1814748.6</v>
      </c>
      <c r="O36" s="355">
        <f>$E$36-N36</f>
        <v>85517.910749999806</v>
      </c>
      <c r="P36" s="355">
        <f>P32*D36</f>
        <v>1848363.6</v>
      </c>
      <c r="Q36" s="355">
        <f>$E$36-P36</f>
        <v>51902.910749999806</v>
      </c>
      <c r="R36" s="355">
        <f>R32*D36</f>
        <v>1833506</v>
      </c>
      <c r="S36" s="355">
        <f>$E$36-R36</f>
        <v>66760.510749999899</v>
      </c>
      <c r="T36" s="355">
        <f>T32*D36</f>
        <v>1851050.5</v>
      </c>
      <c r="U36" s="355">
        <f>$E$36-T36</f>
        <v>49216.010749999899</v>
      </c>
      <c r="V36" s="217">
        <v>1900266.5107499999</v>
      </c>
      <c r="W36" s="355">
        <f>W32*D36</f>
        <v>1855230.6</v>
      </c>
      <c r="X36" s="355">
        <f>$E$36-W36</f>
        <v>45035.910749999806</v>
      </c>
      <c r="Y36" s="355">
        <f>Y32*D36</f>
        <v>0</v>
      </c>
      <c r="Z36" s="355">
        <f>$E$36-Y36</f>
        <v>1900266.5107499999</v>
      </c>
    </row>
    <row r="37" spans="1:26" x14ac:dyDescent="0.25">
      <c r="A37" s="8"/>
      <c r="B37" s="8" t="s">
        <v>135</v>
      </c>
      <c r="C37" s="8"/>
      <c r="D37" s="7">
        <v>0.19</v>
      </c>
      <c r="E37" s="217">
        <v>361050.63704249996</v>
      </c>
      <c r="F37" s="355">
        <f>ROUND(F36*D37,0)</f>
        <v>350941</v>
      </c>
      <c r="G37" s="355">
        <f>$E$37-F37</f>
        <v>10109.637042499962</v>
      </c>
      <c r="H37" s="355">
        <f>H36*D37</f>
        <v>351194.18550000002</v>
      </c>
      <c r="I37" s="355">
        <f>$E$37-H37</f>
        <v>9856.4515424999408</v>
      </c>
      <c r="J37" s="376">
        <f>J36*D37</f>
        <v>0</v>
      </c>
      <c r="K37" s="376">
        <f>$E$37-J37</f>
        <v>361050.63704249996</v>
      </c>
      <c r="L37" s="355">
        <f>L36*D37</f>
        <v>358523.38800000004</v>
      </c>
      <c r="M37" s="355">
        <f>$E$37-L37</f>
        <v>2527.2490424999269</v>
      </c>
      <c r="N37" s="355">
        <f>N36*D37</f>
        <v>344802.234</v>
      </c>
      <c r="O37" s="355">
        <f>$E$37-N37</f>
        <v>16248.403042499966</v>
      </c>
      <c r="P37" s="355">
        <f>P36*D37</f>
        <v>351189.08400000003</v>
      </c>
      <c r="Q37" s="355">
        <f>$E$37-P37</f>
        <v>9861.5530424999306</v>
      </c>
      <c r="R37" s="355">
        <f>R36*D37</f>
        <v>348366.14</v>
      </c>
      <c r="S37" s="355">
        <f>$E$37-R37</f>
        <v>12684.497042499948</v>
      </c>
      <c r="T37" s="355">
        <f>T36*D37</f>
        <v>351699.59500000003</v>
      </c>
      <c r="U37" s="355">
        <f>$E$37-T37</f>
        <v>9351.042042499932</v>
      </c>
      <c r="V37" s="217">
        <v>361050.63704249996</v>
      </c>
      <c r="W37" s="355">
        <f>W36*D37</f>
        <v>352493.81400000001</v>
      </c>
      <c r="X37" s="355">
        <f>$E$37-W37</f>
        <v>8556.8230424999492</v>
      </c>
      <c r="Y37" s="355">
        <f>Y36*D37</f>
        <v>0</v>
      </c>
      <c r="Z37" s="355">
        <f>$E$37-Y37</f>
        <v>361050.63704249996</v>
      </c>
    </row>
    <row r="38" spans="1:26" x14ac:dyDescent="0.25">
      <c r="A38" s="13"/>
      <c r="B38" s="439" t="s">
        <v>129</v>
      </c>
      <c r="C38" s="439"/>
      <c r="D38" s="439"/>
      <c r="E38" s="354">
        <f>SUM(E34:E37)</f>
        <v>7962116.6800424997</v>
      </c>
      <c r="F38" s="356">
        <f>SUM(F34:F37)</f>
        <v>7739180</v>
      </c>
      <c r="G38" s="356">
        <f>$E$38-F38</f>
        <v>222936.68004249968</v>
      </c>
      <c r="H38" s="362">
        <f>SUM(H34:H37)</f>
        <v>7744755.9854999995</v>
      </c>
      <c r="I38" s="356">
        <f>$E$38-H38</f>
        <v>217360.69454250019</v>
      </c>
      <c r="J38" s="377">
        <f>SUM(J34:J37)</f>
        <v>0</v>
      </c>
      <c r="K38" s="376">
        <f>$E$38-J38</f>
        <v>7962116.6800424997</v>
      </c>
      <c r="L38" s="356">
        <f>SUM(L34:L37)</f>
        <v>7906384.188000001</v>
      </c>
      <c r="M38" s="356">
        <f>$E$38-L38</f>
        <v>55732.492042498663</v>
      </c>
      <c r="N38" s="362">
        <f>SUM(N34:N37)</f>
        <v>7603796.6340000005</v>
      </c>
      <c r="O38" s="356">
        <f>$E$38-N38</f>
        <v>358320.04604249913</v>
      </c>
      <c r="P38" s="356">
        <f>SUM(P34:P37)</f>
        <v>7744643.4840000002</v>
      </c>
      <c r="Q38" s="356">
        <f>$E$38-P38</f>
        <v>217473.1960424995</v>
      </c>
      <c r="R38" s="362">
        <f>SUM(R34:R37)</f>
        <v>7682390.1400000006</v>
      </c>
      <c r="S38" s="356">
        <f>$E$38-R38</f>
        <v>279726.54004249908</v>
      </c>
      <c r="T38" s="362">
        <f>SUM(T34:T37)</f>
        <v>7755901.5949999997</v>
      </c>
      <c r="U38" s="356">
        <f>$E$38-T38</f>
        <v>206215.08504249994</v>
      </c>
      <c r="V38" s="354">
        <f>SUM(V34:V37)</f>
        <v>7962116.6800424997</v>
      </c>
      <c r="W38" s="362">
        <f>SUM(W34:W37)</f>
        <v>7773416.2140000006</v>
      </c>
      <c r="X38" s="356">
        <f>$E$38-W38</f>
        <v>188700.46604249906</v>
      </c>
      <c r="Y38" s="362">
        <f>SUM(Y34:Y37)</f>
        <v>0</v>
      </c>
      <c r="Z38" s="356">
        <f>$E$38-Y38</f>
        <v>7962116.6800424997</v>
      </c>
    </row>
    <row r="39" spans="1:26" ht="16.5" x14ac:dyDescent="0.25">
      <c r="A39" s="441" t="s">
        <v>130</v>
      </c>
      <c r="B39" s="441"/>
      <c r="C39" s="441"/>
      <c r="D39" s="441"/>
      <c r="E39" s="18">
        <f>E32+E38</f>
        <v>45967460.680042498</v>
      </c>
      <c r="F39" s="357">
        <f>F32+F38</f>
        <v>44680373</v>
      </c>
      <c r="G39" s="357">
        <f>$E$39-F39</f>
        <v>1287087.6800424978</v>
      </c>
      <c r="H39" s="361">
        <f>H32+H38</f>
        <v>44712564.9855</v>
      </c>
      <c r="I39" s="357">
        <f>$E$39-H39</f>
        <v>1254895.6945424974</v>
      </c>
      <c r="J39" s="377">
        <f>J32+J38</f>
        <v>0</v>
      </c>
      <c r="K39" s="376">
        <f>$E$39-J39</f>
        <v>45967460.680042498</v>
      </c>
      <c r="L39" s="357">
        <f>L32+L38</f>
        <v>45645688.188000001</v>
      </c>
      <c r="M39" s="357">
        <f>$E$39-L39</f>
        <v>321772.4920424968</v>
      </c>
      <c r="N39" s="361">
        <f>N32+N38</f>
        <v>43898768.634000003</v>
      </c>
      <c r="O39" s="357">
        <f>$E$39-N39</f>
        <v>2068692.0460424945</v>
      </c>
      <c r="P39" s="357">
        <f>P32+P38</f>
        <v>44711915.483999997</v>
      </c>
      <c r="Q39" s="357">
        <f>$E$39-P39</f>
        <v>1255545.1960425004</v>
      </c>
      <c r="R39" s="361">
        <f>R32+R38</f>
        <v>44352510.140000001</v>
      </c>
      <c r="S39" s="357">
        <f>$E$39-R39</f>
        <v>1614950.5400424972</v>
      </c>
      <c r="T39" s="361">
        <f>T32+T38</f>
        <v>44776911.594999999</v>
      </c>
      <c r="U39" s="357">
        <f>$E$39-T39</f>
        <v>1190549.085042499</v>
      </c>
      <c r="V39" s="18">
        <f>V32+V38</f>
        <v>45967460.680042498</v>
      </c>
      <c r="W39" s="361">
        <f>W32+W38</f>
        <v>44878028.214000002</v>
      </c>
      <c r="X39" s="357">
        <f>$E$39-W39</f>
        <v>1089432.4660424963</v>
      </c>
      <c r="Y39" s="361">
        <f>Y32+Y38</f>
        <v>0</v>
      </c>
      <c r="Z39" s="357">
        <f>$E$39-Y39</f>
        <v>45967460.680042498</v>
      </c>
    </row>
  </sheetData>
  <mergeCells count="8">
    <mergeCell ref="B38:D38"/>
    <mergeCell ref="A39:D39"/>
    <mergeCell ref="A9:D9"/>
    <mergeCell ref="A10:C10"/>
    <mergeCell ref="B15:D15"/>
    <mergeCell ref="A16:D16"/>
    <mergeCell ref="A32:D32"/>
    <mergeCell ref="A33:C33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7CA4-88A4-4018-BA11-53DBC40F642B}">
  <dimension ref="A1:I102"/>
  <sheetViews>
    <sheetView workbookViewId="0">
      <selection activeCell="H2" sqref="H2:H102"/>
    </sheetView>
  </sheetViews>
  <sheetFormatPr baseColWidth="10" defaultRowHeight="15" x14ac:dyDescent="0.25"/>
  <cols>
    <col min="1" max="1" width="4.28515625" customWidth="1"/>
    <col min="2" max="2" width="39.7109375" customWidth="1"/>
    <col min="3" max="3" width="15.42578125" customWidth="1"/>
    <col min="4" max="6" width="14.7109375" customWidth="1"/>
    <col min="7" max="7" width="14" customWidth="1"/>
    <col min="8" max="8" width="32.42578125" customWidth="1"/>
    <col min="9" max="9" width="14" customWidth="1"/>
  </cols>
  <sheetData>
    <row r="1" spans="1:9" ht="66" x14ac:dyDescent="0.25">
      <c r="A1" s="20" t="s">
        <v>139</v>
      </c>
      <c r="B1" s="20" t="s">
        <v>140</v>
      </c>
      <c r="C1" s="25" t="s">
        <v>573</v>
      </c>
      <c r="D1" s="25" t="s">
        <v>574</v>
      </c>
      <c r="E1" s="25" t="s">
        <v>570</v>
      </c>
      <c r="F1" s="25" t="s">
        <v>571</v>
      </c>
      <c r="G1" s="25" t="s">
        <v>142</v>
      </c>
      <c r="H1" s="20" t="s">
        <v>572</v>
      </c>
      <c r="I1" s="25" t="s">
        <v>144</v>
      </c>
    </row>
    <row r="2" spans="1:9" ht="16.5" x14ac:dyDescent="0.25">
      <c r="A2" s="384">
        <v>1</v>
      </c>
      <c r="B2" s="385" t="s">
        <v>481</v>
      </c>
      <c r="C2" s="386" t="s">
        <v>577</v>
      </c>
      <c r="D2" s="386" t="s">
        <v>577</v>
      </c>
      <c r="E2" s="386" t="s">
        <v>577</v>
      </c>
      <c r="F2" s="386" t="s">
        <v>577</v>
      </c>
      <c r="G2" s="386" t="s">
        <v>577</v>
      </c>
      <c r="H2" s="387" t="s">
        <v>576</v>
      </c>
      <c r="I2" s="386" t="s">
        <v>577</v>
      </c>
    </row>
    <row r="3" spans="1:9" ht="16.5" x14ac:dyDescent="0.25">
      <c r="A3" s="21">
        <v>2</v>
      </c>
      <c r="B3" s="22" t="s">
        <v>482</v>
      </c>
      <c r="C3" s="26">
        <v>54730826</v>
      </c>
      <c r="D3" s="26">
        <v>13108032.827</v>
      </c>
      <c r="E3" s="26">
        <v>9240565</v>
      </c>
      <c r="F3" s="26">
        <v>2213115.3175000004</v>
      </c>
      <c r="G3" s="26">
        <f t="shared" ref="G3:G66" si="0">SUM(C3:F3)</f>
        <v>79292539.144499987</v>
      </c>
      <c r="H3" s="24" t="s">
        <v>575</v>
      </c>
      <c r="I3" s="24">
        <f t="shared" ref="I3:I66" si="1">ROUND(C3+E3,0)</f>
        <v>63971391</v>
      </c>
    </row>
    <row r="4" spans="1:9" ht="16.5" x14ac:dyDescent="0.25">
      <c r="A4" s="21">
        <v>3</v>
      </c>
      <c r="B4" s="22" t="s">
        <v>483</v>
      </c>
      <c r="C4" s="26">
        <v>54110624</v>
      </c>
      <c r="D4" s="26">
        <v>12959494.447999999</v>
      </c>
      <c r="E4" s="26">
        <v>9135851</v>
      </c>
      <c r="F4" s="26">
        <v>2188036.3144999999</v>
      </c>
      <c r="G4" s="26">
        <f t="shared" si="0"/>
        <v>78394005.762500003</v>
      </c>
      <c r="H4" s="24" t="s">
        <v>575</v>
      </c>
      <c r="I4" s="24">
        <f t="shared" si="1"/>
        <v>63246475</v>
      </c>
    </row>
    <row r="5" spans="1:9" ht="49.5" x14ac:dyDescent="0.25">
      <c r="A5" s="21">
        <v>4</v>
      </c>
      <c r="B5" s="22" t="s">
        <v>484</v>
      </c>
      <c r="C5" s="26">
        <v>54941332</v>
      </c>
      <c r="D5" s="26">
        <v>13158449.014</v>
      </c>
      <c r="E5" s="26">
        <v>9276106</v>
      </c>
      <c r="F5" s="26">
        <v>2221627.3870000001</v>
      </c>
      <c r="G5" s="26">
        <f t="shared" si="0"/>
        <v>79597514.400999993</v>
      </c>
      <c r="H5" s="24" t="s">
        <v>575</v>
      </c>
      <c r="I5" s="24">
        <f t="shared" si="1"/>
        <v>64217438</v>
      </c>
    </row>
    <row r="6" spans="1:9" ht="16.5" x14ac:dyDescent="0.25">
      <c r="A6" s="21">
        <v>5</v>
      </c>
      <c r="B6" s="22" t="s">
        <v>425</v>
      </c>
      <c r="C6" s="26">
        <v>55253396</v>
      </c>
      <c r="D6" s="26">
        <v>13233188.342</v>
      </c>
      <c r="E6" s="26">
        <v>8968000</v>
      </c>
      <c r="F6" s="26">
        <v>2147836</v>
      </c>
      <c r="G6" s="26">
        <f t="shared" si="0"/>
        <v>79602420.342000008</v>
      </c>
      <c r="H6" s="24" t="s">
        <v>575</v>
      </c>
      <c r="I6" s="24">
        <f t="shared" si="1"/>
        <v>64221396</v>
      </c>
    </row>
    <row r="7" spans="1:9" ht="16.5" x14ac:dyDescent="0.25">
      <c r="A7" s="384">
        <v>6</v>
      </c>
      <c r="B7" s="385" t="s">
        <v>485</v>
      </c>
      <c r="C7" s="386" t="s">
        <v>577</v>
      </c>
      <c r="D7" s="386" t="s">
        <v>577</v>
      </c>
      <c r="E7" s="386" t="s">
        <v>577</v>
      </c>
      <c r="F7" s="386" t="s">
        <v>577</v>
      </c>
      <c r="G7" s="386" t="s">
        <v>577</v>
      </c>
      <c r="H7" s="387" t="s">
        <v>576</v>
      </c>
      <c r="I7" s="386" t="s">
        <v>577</v>
      </c>
    </row>
    <row r="8" spans="1:9" ht="16.5" x14ac:dyDescent="0.25">
      <c r="A8" s="21">
        <v>7</v>
      </c>
      <c r="B8" s="22" t="s">
        <v>486</v>
      </c>
      <c r="C8" s="26">
        <v>49702828</v>
      </c>
      <c r="D8" s="26">
        <v>11903827.306000002</v>
      </c>
      <c r="E8" s="26">
        <v>9454207</v>
      </c>
      <c r="F8" s="26">
        <v>2264282.5765000004</v>
      </c>
      <c r="G8" s="26">
        <f t="shared" si="0"/>
        <v>73325144.882499993</v>
      </c>
      <c r="H8" s="24" t="s">
        <v>575</v>
      </c>
      <c r="I8" s="24">
        <f t="shared" si="1"/>
        <v>59157035</v>
      </c>
    </row>
    <row r="9" spans="1:9" ht="16.5" x14ac:dyDescent="0.25">
      <c r="A9" s="384">
        <v>8</v>
      </c>
      <c r="B9" s="385" t="s">
        <v>420</v>
      </c>
      <c r="C9" s="386" t="s">
        <v>577</v>
      </c>
      <c r="D9" s="386" t="s">
        <v>577</v>
      </c>
      <c r="E9" s="386" t="s">
        <v>577</v>
      </c>
      <c r="F9" s="386" t="s">
        <v>577</v>
      </c>
      <c r="G9" s="386" t="s">
        <v>577</v>
      </c>
      <c r="H9" s="387" t="s">
        <v>576</v>
      </c>
      <c r="I9" s="386" t="s">
        <v>577</v>
      </c>
    </row>
    <row r="10" spans="1:9" ht="16.5" x14ac:dyDescent="0.25">
      <c r="A10" s="384">
        <v>9</v>
      </c>
      <c r="B10" s="385" t="s">
        <v>487</v>
      </c>
      <c r="C10" s="386" t="s">
        <v>577</v>
      </c>
      <c r="D10" s="386" t="s">
        <v>577</v>
      </c>
      <c r="E10" s="386" t="s">
        <v>577</v>
      </c>
      <c r="F10" s="386" t="s">
        <v>577</v>
      </c>
      <c r="G10" s="386" t="s">
        <v>577</v>
      </c>
      <c r="H10" s="387" t="s">
        <v>576</v>
      </c>
      <c r="I10" s="386" t="s">
        <v>577</v>
      </c>
    </row>
    <row r="11" spans="1:9" ht="16.5" x14ac:dyDescent="0.25">
      <c r="A11" s="384">
        <v>10</v>
      </c>
      <c r="B11" s="385" t="s">
        <v>488</v>
      </c>
      <c r="C11" s="386" t="s">
        <v>577</v>
      </c>
      <c r="D11" s="386" t="s">
        <v>577</v>
      </c>
      <c r="E11" s="386" t="s">
        <v>577</v>
      </c>
      <c r="F11" s="386" t="s">
        <v>577</v>
      </c>
      <c r="G11" s="386" t="s">
        <v>577</v>
      </c>
      <c r="H11" s="387" t="s">
        <v>576</v>
      </c>
      <c r="I11" s="386" t="s">
        <v>577</v>
      </c>
    </row>
    <row r="12" spans="1:9" ht="16.5" x14ac:dyDescent="0.25">
      <c r="A12" s="21">
        <v>11</v>
      </c>
      <c r="B12" s="22" t="s">
        <v>489</v>
      </c>
      <c r="C12" s="26">
        <v>55139125</v>
      </c>
      <c r="D12" s="26">
        <v>13205820.4375</v>
      </c>
      <c r="E12" s="26">
        <v>9309500</v>
      </c>
      <c r="F12" s="26">
        <v>2229625.25</v>
      </c>
      <c r="G12" s="26">
        <f t="shared" si="0"/>
        <v>79884070.6875</v>
      </c>
      <c r="H12" s="24" t="s">
        <v>575</v>
      </c>
      <c r="I12" s="24">
        <f t="shared" si="1"/>
        <v>64448625</v>
      </c>
    </row>
    <row r="13" spans="1:9" ht="16.5" x14ac:dyDescent="0.25">
      <c r="A13" s="384">
        <v>12</v>
      </c>
      <c r="B13" s="385" t="s">
        <v>490</v>
      </c>
      <c r="C13" s="386" t="s">
        <v>577</v>
      </c>
      <c r="D13" s="386" t="s">
        <v>577</v>
      </c>
      <c r="E13" s="386" t="s">
        <v>577</v>
      </c>
      <c r="F13" s="386" t="s">
        <v>577</v>
      </c>
      <c r="G13" s="386" t="s">
        <v>577</v>
      </c>
      <c r="H13" s="387" t="s">
        <v>576</v>
      </c>
      <c r="I13" s="386" t="s">
        <v>577</v>
      </c>
    </row>
    <row r="14" spans="1:9" ht="16.5" x14ac:dyDescent="0.25">
      <c r="A14" s="384">
        <v>13</v>
      </c>
      <c r="B14" s="385" t="s">
        <v>491</v>
      </c>
      <c r="C14" s="386" t="s">
        <v>577</v>
      </c>
      <c r="D14" s="386" t="s">
        <v>577</v>
      </c>
      <c r="E14" s="386" t="s">
        <v>577</v>
      </c>
      <c r="F14" s="386" t="s">
        <v>577</v>
      </c>
      <c r="G14" s="386" t="s">
        <v>577</v>
      </c>
      <c r="H14" s="387" t="s">
        <v>576</v>
      </c>
      <c r="I14" s="386" t="s">
        <v>577</v>
      </c>
    </row>
    <row r="15" spans="1:9" ht="16.5" x14ac:dyDescent="0.25">
      <c r="A15" s="21">
        <v>14</v>
      </c>
      <c r="B15" s="22" t="s">
        <v>269</v>
      </c>
      <c r="C15" s="26">
        <v>56352394</v>
      </c>
      <c r="D15" s="26">
        <v>12932874.423</v>
      </c>
      <c r="E15" s="26">
        <v>9514343</v>
      </c>
      <c r="F15" s="26">
        <v>2183541.7185</v>
      </c>
      <c r="G15" s="26">
        <f t="shared" si="0"/>
        <v>80983153.141500011</v>
      </c>
      <c r="H15" s="24" t="s">
        <v>575</v>
      </c>
      <c r="I15" s="24">
        <f t="shared" si="1"/>
        <v>65866737</v>
      </c>
    </row>
    <row r="16" spans="1:9" ht="16.5" x14ac:dyDescent="0.25">
      <c r="A16" s="384">
        <v>15</v>
      </c>
      <c r="B16" s="385" t="s">
        <v>492</v>
      </c>
      <c r="C16" s="386" t="s">
        <v>577</v>
      </c>
      <c r="D16" s="386" t="s">
        <v>577</v>
      </c>
      <c r="E16" s="386" t="s">
        <v>577</v>
      </c>
      <c r="F16" s="386" t="s">
        <v>577</v>
      </c>
      <c r="G16" s="386" t="s">
        <v>577</v>
      </c>
      <c r="H16" s="387" t="s">
        <v>576</v>
      </c>
      <c r="I16" s="386" t="s">
        <v>577</v>
      </c>
    </row>
    <row r="17" spans="1:9" ht="16.5" x14ac:dyDescent="0.25">
      <c r="A17" s="21">
        <v>16</v>
      </c>
      <c r="B17" s="22" t="s">
        <v>493</v>
      </c>
      <c r="C17" s="26">
        <v>56373325</v>
      </c>
      <c r="D17" s="26">
        <v>12937678.0875</v>
      </c>
      <c r="E17" s="26">
        <v>9500000</v>
      </c>
      <c r="F17" s="26">
        <v>2180250</v>
      </c>
      <c r="G17" s="26">
        <f t="shared" si="0"/>
        <v>80991253.087500006</v>
      </c>
      <c r="H17" s="24" t="s">
        <v>575</v>
      </c>
      <c r="I17" s="24">
        <f t="shared" si="1"/>
        <v>65873325</v>
      </c>
    </row>
    <row r="18" spans="1:9" ht="16.5" x14ac:dyDescent="0.25">
      <c r="A18" s="384">
        <v>17</v>
      </c>
      <c r="B18" s="385" t="s">
        <v>494</v>
      </c>
      <c r="C18" s="386" t="s">
        <v>577</v>
      </c>
      <c r="D18" s="386" t="s">
        <v>577</v>
      </c>
      <c r="E18" s="386" t="s">
        <v>577</v>
      </c>
      <c r="F18" s="386" t="s">
        <v>577</v>
      </c>
      <c r="G18" s="386" t="s">
        <v>577</v>
      </c>
      <c r="H18" s="387" t="s">
        <v>576</v>
      </c>
      <c r="I18" s="386" t="s">
        <v>577</v>
      </c>
    </row>
    <row r="19" spans="1:9" ht="16.5" x14ac:dyDescent="0.25">
      <c r="A19" s="384">
        <v>18</v>
      </c>
      <c r="B19" s="385" t="s">
        <v>495</v>
      </c>
      <c r="C19" s="386" t="s">
        <v>577</v>
      </c>
      <c r="D19" s="386" t="s">
        <v>577</v>
      </c>
      <c r="E19" s="386" t="s">
        <v>577</v>
      </c>
      <c r="F19" s="386" t="s">
        <v>577</v>
      </c>
      <c r="G19" s="386" t="s">
        <v>577</v>
      </c>
      <c r="H19" s="387" t="s">
        <v>576</v>
      </c>
      <c r="I19" s="386" t="s">
        <v>577</v>
      </c>
    </row>
    <row r="20" spans="1:9" ht="16.5" x14ac:dyDescent="0.25">
      <c r="A20" s="21">
        <v>19</v>
      </c>
      <c r="B20" s="62" t="s">
        <v>496</v>
      </c>
      <c r="C20" s="26">
        <v>55310545</v>
      </c>
      <c r="D20" s="26">
        <v>13246875.5275</v>
      </c>
      <c r="E20" s="26">
        <v>9338441</v>
      </c>
      <c r="F20" s="26">
        <v>2236556.6195</v>
      </c>
      <c r="G20" s="26">
        <f t="shared" si="0"/>
        <v>80132418.147</v>
      </c>
      <c r="H20" s="24" t="s">
        <v>575</v>
      </c>
      <c r="I20" s="24">
        <f t="shared" si="1"/>
        <v>64648986</v>
      </c>
    </row>
    <row r="21" spans="1:9" ht="16.5" x14ac:dyDescent="0.25">
      <c r="A21" s="384">
        <v>20</v>
      </c>
      <c r="B21" s="385" t="s">
        <v>497</v>
      </c>
      <c r="C21" s="386" t="s">
        <v>577</v>
      </c>
      <c r="D21" s="386" t="s">
        <v>577</v>
      </c>
      <c r="E21" s="386" t="s">
        <v>577</v>
      </c>
      <c r="F21" s="386" t="s">
        <v>577</v>
      </c>
      <c r="G21" s="386" t="s">
        <v>577</v>
      </c>
      <c r="H21" s="387" t="s">
        <v>576</v>
      </c>
      <c r="I21" s="386" t="s">
        <v>577</v>
      </c>
    </row>
    <row r="22" spans="1:9" ht="16.5" x14ac:dyDescent="0.25">
      <c r="A22" s="384">
        <v>21</v>
      </c>
      <c r="B22" s="385" t="s">
        <v>498</v>
      </c>
      <c r="C22" s="386" t="s">
        <v>577</v>
      </c>
      <c r="D22" s="386" t="s">
        <v>577</v>
      </c>
      <c r="E22" s="386" t="s">
        <v>577</v>
      </c>
      <c r="F22" s="386" t="s">
        <v>577</v>
      </c>
      <c r="G22" s="386" t="s">
        <v>577</v>
      </c>
      <c r="H22" s="387" t="s">
        <v>576</v>
      </c>
      <c r="I22" s="386" t="s">
        <v>577</v>
      </c>
    </row>
    <row r="23" spans="1:9" ht="16.5" x14ac:dyDescent="0.25">
      <c r="A23" s="21">
        <v>22</v>
      </c>
      <c r="B23" s="22" t="s">
        <v>499</v>
      </c>
      <c r="C23" s="26">
        <v>54984847.214157507</v>
      </c>
      <c r="D23" s="26">
        <v>13168870.907790722</v>
      </c>
      <c r="E23" s="26">
        <v>9283452.4450000003</v>
      </c>
      <c r="F23" s="26">
        <v>2223386.8605775004</v>
      </c>
      <c r="G23" s="26">
        <f t="shared" si="0"/>
        <v>79660557.427525729</v>
      </c>
      <c r="H23" s="24" t="s">
        <v>575</v>
      </c>
      <c r="I23" s="24">
        <f t="shared" si="1"/>
        <v>64268300</v>
      </c>
    </row>
    <row r="24" spans="1:9" ht="16.5" x14ac:dyDescent="0.25">
      <c r="A24" s="384">
        <v>23</v>
      </c>
      <c r="B24" s="385" t="s">
        <v>500</v>
      </c>
      <c r="C24" s="386" t="s">
        <v>577</v>
      </c>
      <c r="D24" s="386" t="s">
        <v>577</v>
      </c>
      <c r="E24" s="386" t="s">
        <v>577</v>
      </c>
      <c r="F24" s="386" t="s">
        <v>577</v>
      </c>
      <c r="G24" s="386" t="s">
        <v>577</v>
      </c>
      <c r="H24" s="387" t="s">
        <v>576</v>
      </c>
      <c r="I24" s="386" t="s">
        <v>577</v>
      </c>
    </row>
    <row r="25" spans="1:9" ht="16.5" x14ac:dyDescent="0.25">
      <c r="A25" s="21">
        <v>24</v>
      </c>
      <c r="B25" s="22" t="s">
        <v>501</v>
      </c>
      <c r="C25" s="26">
        <v>55699904</v>
      </c>
      <c r="D25" s="26">
        <v>13340127.007999998</v>
      </c>
      <c r="E25" s="26">
        <v>9234560</v>
      </c>
      <c r="F25" s="26">
        <v>2211677.1199999996</v>
      </c>
      <c r="G25" s="26">
        <f t="shared" si="0"/>
        <v>80486268.128000006</v>
      </c>
      <c r="H25" s="24" t="s">
        <v>575</v>
      </c>
      <c r="I25" s="24">
        <f t="shared" si="1"/>
        <v>64934464</v>
      </c>
    </row>
    <row r="26" spans="1:9" ht="16.5" x14ac:dyDescent="0.25">
      <c r="A26" s="384">
        <v>25</v>
      </c>
      <c r="B26" s="385" t="s">
        <v>502</v>
      </c>
      <c r="C26" s="386" t="s">
        <v>577</v>
      </c>
      <c r="D26" s="386" t="s">
        <v>577</v>
      </c>
      <c r="E26" s="386" t="s">
        <v>577</v>
      </c>
      <c r="F26" s="386" t="s">
        <v>577</v>
      </c>
      <c r="G26" s="386" t="s">
        <v>577</v>
      </c>
      <c r="H26" s="387" t="s">
        <v>576</v>
      </c>
      <c r="I26" s="386" t="s">
        <v>577</v>
      </c>
    </row>
    <row r="27" spans="1:9" ht="16.5" x14ac:dyDescent="0.25">
      <c r="A27" s="384">
        <v>26</v>
      </c>
      <c r="B27" s="385" t="s">
        <v>503</v>
      </c>
      <c r="C27" s="386" t="s">
        <v>577</v>
      </c>
      <c r="D27" s="386" t="s">
        <v>577</v>
      </c>
      <c r="E27" s="386" t="s">
        <v>577</v>
      </c>
      <c r="F27" s="386" t="s">
        <v>577</v>
      </c>
      <c r="G27" s="386" t="s">
        <v>577</v>
      </c>
      <c r="H27" s="387" t="s">
        <v>576</v>
      </c>
      <c r="I27" s="386" t="s">
        <v>577</v>
      </c>
    </row>
    <row r="28" spans="1:9" ht="16.5" x14ac:dyDescent="0.25">
      <c r="A28" s="384">
        <v>27</v>
      </c>
      <c r="B28" s="385" t="s">
        <v>504</v>
      </c>
      <c r="C28" s="386" t="s">
        <v>577</v>
      </c>
      <c r="D28" s="386" t="s">
        <v>577</v>
      </c>
      <c r="E28" s="386" t="s">
        <v>577</v>
      </c>
      <c r="F28" s="386" t="s">
        <v>577</v>
      </c>
      <c r="G28" s="386" t="s">
        <v>577</v>
      </c>
      <c r="H28" s="387" t="s">
        <v>576</v>
      </c>
      <c r="I28" s="386" t="s">
        <v>577</v>
      </c>
    </row>
    <row r="29" spans="1:9" ht="16.5" x14ac:dyDescent="0.25">
      <c r="A29" s="384">
        <v>28</v>
      </c>
      <c r="B29" s="385" t="s">
        <v>505</v>
      </c>
      <c r="C29" s="386" t="s">
        <v>577</v>
      </c>
      <c r="D29" s="386" t="s">
        <v>577</v>
      </c>
      <c r="E29" s="386" t="s">
        <v>577</v>
      </c>
      <c r="F29" s="386" t="s">
        <v>577</v>
      </c>
      <c r="G29" s="386" t="s">
        <v>577</v>
      </c>
      <c r="H29" s="387" t="s">
        <v>576</v>
      </c>
      <c r="I29" s="386" t="s">
        <v>577</v>
      </c>
    </row>
    <row r="30" spans="1:9" ht="16.5" x14ac:dyDescent="0.25">
      <c r="A30" s="21">
        <v>29</v>
      </c>
      <c r="B30" s="22" t="s">
        <v>506</v>
      </c>
      <c r="C30" s="26">
        <v>55453929</v>
      </c>
      <c r="D30" s="26">
        <v>13281215.995500002</v>
      </c>
      <c r="E30" s="26">
        <v>9640000</v>
      </c>
      <c r="F30" s="26">
        <v>2308780</v>
      </c>
      <c r="G30" s="26">
        <f t="shared" si="0"/>
        <v>80683924.995499998</v>
      </c>
      <c r="H30" s="24" t="s">
        <v>575</v>
      </c>
      <c r="I30" s="24">
        <f t="shared" si="1"/>
        <v>65093929</v>
      </c>
    </row>
    <row r="31" spans="1:9" ht="16.5" x14ac:dyDescent="0.25">
      <c r="A31" s="384">
        <v>30</v>
      </c>
      <c r="B31" s="385" t="s">
        <v>421</v>
      </c>
      <c r="C31" s="386" t="s">
        <v>577</v>
      </c>
      <c r="D31" s="386" t="s">
        <v>577</v>
      </c>
      <c r="E31" s="386" t="s">
        <v>577</v>
      </c>
      <c r="F31" s="386" t="s">
        <v>577</v>
      </c>
      <c r="G31" s="386" t="s">
        <v>577</v>
      </c>
      <c r="H31" s="387" t="s">
        <v>576</v>
      </c>
      <c r="I31" s="386" t="s">
        <v>577</v>
      </c>
    </row>
    <row r="32" spans="1:9" ht="16.5" x14ac:dyDescent="0.25">
      <c r="A32" s="21">
        <v>31</v>
      </c>
      <c r="B32" s="22" t="s">
        <v>507</v>
      </c>
      <c r="C32" s="26">
        <v>57138845</v>
      </c>
      <c r="D32" s="26">
        <v>9827881.3400000017</v>
      </c>
      <c r="E32" s="26">
        <v>9600000</v>
      </c>
      <c r="F32" s="26">
        <v>1651200</v>
      </c>
      <c r="G32" s="26">
        <f t="shared" si="0"/>
        <v>78217926.340000004</v>
      </c>
      <c r="H32" s="24" t="s">
        <v>575</v>
      </c>
      <c r="I32" s="24">
        <f t="shared" si="1"/>
        <v>66738845</v>
      </c>
    </row>
    <row r="33" spans="1:9" ht="16.5" x14ac:dyDescent="0.25">
      <c r="A33" s="21">
        <v>32</v>
      </c>
      <c r="B33" s="22" t="s">
        <v>508</v>
      </c>
      <c r="C33" s="26">
        <v>55813357</v>
      </c>
      <c r="D33" s="26">
        <v>13367299.001500001</v>
      </c>
      <c r="E33" s="26">
        <v>9423336.1199999992</v>
      </c>
      <c r="F33" s="26">
        <v>2256889.00074</v>
      </c>
      <c r="G33" s="26">
        <f t="shared" si="0"/>
        <v>80860881.122240007</v>
      </c>
      <c r="H33" s="24" t="s">
        <v>575</v>
      </c>
      <c r="I33" s="24">
        <f t="shared" si="1"/>
        <v>65236693</v>
      </c>
    </row>
    <row r="34" spans="1:9" ht="16.5" x14ac:dyDescent="0.25">
      <c r="A34" s="384">
        <v>33</v>
      </c>
      <c r="B34" s="385" t="s">
        <v>509</v>
      </c>
      <c r="C34" s="386" t="s">
        <v>577</v>
      </c>
      <c r="D34" s="386" t="s">
        <v>577</v>
      </c>
      <c r="E34" s="386" t="s">
        <v>577</v>
      </c>
      <c r="F34" s="386" t="s">
        <v>577</v>
      </c>
      <c r="G34" s="386" t="s">
        <v>577</v>
      </c>
      <c r="H34" s="387" t="s">
        <v>576</v>
      </c>
      <c r="I34" s="386" t="s">
        <v>577</v>
      </c>
    </row>
    <row r="35" spans="1:9" ht="16.5" x14ac:dyDescent="0.25">
      <c r="A35" s="21">
        <v>34</v>
      </c>
      <c r="B35" s="22" t="s">
        <v>510</v>
      </c>
      <c r="C35" s="26">
        <v>56127617</v>
      </c>
      <c r="D35" s="26">
        <v>13442564.271500001</v>
      </c>
      <c r="E35" s="26">
        <v>9476395</v>
      </c>
      <c r="F35" s="26">
        <v>2269596.6024999996</v>
      </c>
      <c r="G35" s="26">
        <f t="shared" si="0"/>
        <v>81316172.874000013</v>
      </c>
      <c r="H35" s="24" t="s">
        <v>575</v>
      </c>
      <c r="I35" s="24">
        <f t="shared" si="1"/>
        <v>65604012</v>
      </c>
    </row>
    <row r="36" spans="1:9" ht="16.5" x14ac:dyDescent="0.25">
      <c r="A36" s="21">
        <v>35</v>
      </c>
      <c r="B36" s="22" t="s">
        <v>439</v>
      </c>
      <c r="C36" s="26">
        <v>55696671</v>
      </c>
      <c r="D36" s="26">
        <v>13339352</v>
      </c>
      <c r="E36" s="26">
        <v>9403635</v>
      </c>
      <c r="F36" s="26">
        <v>2252172</v>
      </c>
      <c r="G36" s="26">
        <f t="shared" si="0"/>
        <v>80691830</v>
      </c>
      <c r="H36" s="24" t="s">
        <v>575</v>
      </c>
      <c r="I36" s="24">
        <f t="shared" si="1"/>
        <v>65100306</v>
      </c>
    </row>
    <row r="37" spans="1:9" ht="16.5" x14ac:dyDescent="0.25">
      <c r="A37" s="21">
        <v>36</v>
      </c>
      <c r="B37" s="22" t="s">
        <v>511</v>
      </c>
      <c r="C37" s="26">
        <v>55483673</v>
      </c>
      <c r="D37" s="26">
        <v>13288340</v>
      </c>
      <c r="E37" s="26">
        <v>9367672</v>
      </c>
      <c r="F37" s="26">
        <v>2243558</v>
      </c>
      <c r="G37" s="26">
        <f t="shared" si="0"/>
        <v>80383243</v>
      </c>
      <c r="H37" s="24" t="s">
        <v>575</v>
      </c>
      <c r="I37" s="24">
        <f t="shared" si="1"/>
        <v>64851345</v>
      </c>
    </row>
    <row r="38" spans="1:9" ht="16.5" x14ac:dyDescent="0.25">
      <c r="A38" s="384">
        <v>37</v>
      </c>
      <c r="B38" s="385" t="s">
        <v>512</v>
      </c>
      <c r="C38" s="386" t="s">
        <v>577</v>
      </c>
      <c r="D38" s="386" t="s">
        <v>577</v>
      </c>
      <c r="E38" s="386" t="s">
        <v>577</v>
      </c>
      <c r="F38" s="386" t="s">
        <v>577</v>
      </c>
      <c r="G38" s="386" t="s">
        <v>577</v>
      </c>
      <c r="H38" s="387" t="s">
        <v>576</v>
      </c>
      <c r="I38" s="386" t="s">
        <v>577</v>
      </c>
    </row>
    <row r="39" spans="1:9" ht="16.5" x14ac:dyDescent="0.25">
      <c r="A39" s="21">
        <v>38</v>
      </c>
      <c r="B39" s="22" t="s">
        <v>513</v>
      </c>
      <c r="C39" s="26">
        <v>55196258</v>
      </c>
      <c r="D39" s="26">
        <v>13219503.790999999</v>
      </c>
      <c r="E39" s="26">
        <v>9319147</v>
      </c>
      <c r="F39" s="26">
        <v>2231935.7064999999</v>
      </c>
      <c r="G39" s="26">
        <f t="shared" si="0"/>
        <v>79966844.497499987</v>
      </c>
      <c r="H39" s="24" t="s">
        <v>575</v>
      </c>
      <c r="I39" s="24">
        <f t="shared" si="1"/>
        <v>64515405</v>
      </c>
    </row>
    <row r="40" spans="1:9" ht="16.5" x14ac:dyDescent="0.25">
      <c r="A40" s="21">
        <v>39</v>
      </c>
      <c r="B40" s="22" t="s">
        <v>514</v>
      </c>
      <c r="C40" s="26">
        <v>55424806</v>
      </c>
      <c r="D40" s="26">
        <v>13274241.037000002</v>
      </c>
      <c r="E40" s="26">
        <v>9357736</v>
      </c>
      <c r="F40" s="26">
        <v>2241177.7720000003</v>
      </c>
      <c r="G40" s="26">
        <f t="shared" si="0"/>
        <v>80297960.809</v>
      </c>
      <c r="H40" s="24" t="s">
        <v>575</v>
      </c>
      <c r="I40" s="24">
        <f t="shared" si="1"/>
        <v>64782542</v>
      </c>
    </row>
    <row r="41" spans="1:9" ht="16.5" x14ac:dyDescent="0.25">
      <c r="A41" s="21">
        <v>40</v>
      </c>
      <c r="B41" s="22" t="s">
        <v>515</v>
      </c>
      <c r="C41" s="26">
        <v>54622069</v>
      </c>
      <c r="D41" s="26">
        <v>13081985.529999999</v>
      </c>
      <c r="E41" s="26">
        <v>9261264</v>
      </c>
      <c r="F41" s="26">
        <v>2218073</v>
      </c>
      <c r="G41" s="26">
        <f t="shared" si="0"/>
        <v>79183391.530000001</v>
      </c>
      <c r="H41" s="24" t="s">
        <v>575</v>
      </c>
      <c r="I41" s="24">
        <f t="shared" si="1"/>
        <v>63883333</v>
      </c>
    </row>
    <row r="42" spans="1:9" ht="16.5" x14ac:dyDescent="0.25">
      <c r="A42" s="21">
        <v>41</v>
      </c>
      <c r="B42" s="22" t="s">
        <v>516</v>
      </c>
      <c r="C42" s="26">
        <v>56162190</v>
      </c>
      <c r="D42" s="26">
        <v>13344136</v>
      </c>
      <c r="E42" s="26">
        <v>9482232</v>
      </c>
      <c r="F42" s="26">
        <v>2252978.3232000005</v>
      </c>
      <c r="G42" s="26">
        <f t="shared" si="0"/>
        <v>81241536.323200002</v>
      </c>
      <c r="H42" s="24" t="s">
        <v>575</v>
      </c>
      <c r="I42" s="24">
        <f t="shared" si="1"/>
        <v>65644422</v>
      </c>
    </row>
    <row r="43" spans="1:9" ht="16.5" x14ac:dyDescent="0.25">
      <c r="A43" s="384">
        <v>42</v>
      </c>
      <c r="B43" s="385" t="s">
        <v>517</v>
      </c>
      <c r="C43" s="386" t="s">
        <v>577</v>
      </c>
      <c r="D43" s="386" t="s">
        <v>577</v>
      </c>
      <c r="E43" s="386" t="s">
        <v>577</v>
      </c>
      <c r="F43" s="386" t="s">
        <v>577</v>
      </c>
      <c r="G43" s="386" t="s">
        <v>577</v>
      </c>
      <c r="H43" s="387" t="s">
        <v>576</v>
      </c>
      <c r="I43" s="386" t="s">
        <v>577</v>
      </c>
    </row>
    <row r="44" spans="1:9" ht="16.5" x14ac:dyDescent="0.25">
      <c r="A44" s="21">
        <v>43</v>
      </c>
      <c r="B44" s="22" t="s">
        <v>518</v>
      </c>
      <c r="C44" s="26">
        <v>56127617</v>
      </c>
      <c r="D44" s="26">
        <v>13229279</v>
      </c>
      <c r="E44" s="26">
        <v>9640000</v>
      </c>
      <c r="F44" s="26">
        <v>2272148</v>
      </c>
      <c r="G44" s="26">
        <f t="shared" si="0"/>
        <v>81269044</v>
      </c>
      <c r="H44" s="24" t="s">
        <v>575</v>
      </c>
      <c r="I44" s="24">
        <f t="shared" si="1"/>
        <v>65767617</v>
      </c>
    </row>
    <row r="45" spans="1:9" ht="16.5" x14ac:dyDescent="0.25">
      <c r="A45" s="384">
        <v>44</v>
      </c>
      <c r="B45" s="385" t="s">
        <v>519</v>
      </c>
      <c r="C45" s="386" t="s">
        <v>577</v>
      </c>
      <c r="D45" s="386" t="s">
        <v>577</v>
      </c>
      <c r="E45" s="386" t="s">
        <v>577</v>
      </c>
      <c r="F45" s="386" t="s">
        <v>577</v>
      </c>
      <c r="G45" s="386" t="s">
        <v>577</v>
      </c>
      <c r="H45" s="387" t="s">
        <v>576</v>
      </c>
      <c r="I45" s="386" t="s">
        <v>577</v>
      </c>
    </row>
    <row r="46" spans="1:9" ht="16.5" x14ac:dyDescent="0.25">
      <c r="A46" s="384">
        <v>45</v>
      </c>
      <c r="B46" s="385" t="s">
        <v>520</v>
      </c>
      <c r="C46" s="386" t="s">
        <v>577</v>
      </c>
      <c r="D46" s="386" t="s">
        <v>577</v>
      </c>
      <c r="E46" s="386" t="s">
        <v>577</v>
      </c>
      <c r="F46" s="386" t="s">
        <v>577</v>
      </c>
      <c r="G46" s="386" t="s">
        <v>577</v>
      </c>
      <c r="H46" s="387" t="s">
        <v>576</v>
      </c>
      <c r="I46" s="386" t="s">
        <v>577</v>
      </c>
    </row>
    <row r="47" spans="1:9" ht="33" x14ac:dyDescent="0.25">
      <c r="A47" s="384">
        <v>46</v>
      </c>
      <c r="B47" s="385" t="s">
        <v>521</v>
      </c>
      <c r="C47" s="386" t="s">
        <v>577</v>
      </c>
      <c r="D47" s="386" t="s">
        <v>577</v>
      </c>
      <c r="E47" s="386" t="s">
        <v>577</v>
      </c>
      <c r="F47" s="386" t="s">
        <v>577</v>
      </c>
      <c r="G47" s="386" t="s">
        <v>577</v>
      </c>
      <c r="H47" s="387" t="s">
        <v>576</v>
      </c>
      <c r="I47" s="386" t="s">
        <v>577</v>
      </c>
    </row>
    <row r="48" spans="1:9" ht="16.5" x14ac:dyDescent="0.25">
      <c r="A48" s="384">
        <v>47</v>
      </c>
      <c r="B48" s="385" t="s">
        <v>522</v>
      </c>
      <c r="C48" s="386" t="s">
        <v>577</v>
      </c>
      <c r="D48" s="386" t="s">
        <v>577</v>
      </c>
      <c r="E48" s="386" t="s">
        <v>577</v>
      </c>
      <c r="F48" s="386" t="s">
        <v>577</v>
      </c>
      <c r="G48" s="386" t="s">
        <v>577</v>
      </c>
      <c r="H48" s="387" t="s">
        <v>576</v>
      </c>
      <c r="I48" s="386" t="s">
        <v>577</v>
      </c>
    </row>
    <row r="49" spans="1:9" ht="16.5" x14ac:dyDescent="0.25">
      <c r="A49" s="384">
        <v>48</v>
      </c>
      <c r="B49" s="385" t="s">
        <v>523</v>
      </c>
      <c r="C49" s="386" t="s">
        <v>577</v>
      </c>
      <c r="D49" s="386" t="s">
        <v>577</v>
      </c>
      <c r="E49" s="386" t="s">
        <v>577</v>
      </c>
      <c r="F49" s="386" t="s">
        <v>577</v>
      </c>
      <c r="G49" s="386" t="s">
        <v>577</v>
      </c>
      <c r="H49" s="387" t="s">
        <v>576</v>
      </c>
      <c r="I49" s="386" t="s">
        <v>577</v>
      </c>
    </row>
    <row r="50" spans="1:9" ht="16.5" x14ac:dyDescent="0.25">
      <c r="A50" s="21">
        <v>49</v>
      </c>
      <c r="B50" s="22" t="s">
        <v>524</v>
      </c>
      <c r="C50" s="26">
        <v>55840549</v>
      </c>
      <c r="D50" s="26">
        <v>13373811.4855</v>
      </c>
      <c r="E50" s="26">
        <v>9502443</v>
      </c>
      <c r="F50" s="26">
        <v>2275835.0985000003</v>
      </c>
      <c r="G50" s="26">
        <f t="shared" si="0"/>
        <v>80992638.584000006</v>
      </c>
      <c r="H50" s="24" t="s">
        <v>575</v>
      </c>
      <c r="I50" s="24">
        <f t="shared" si="1"/>
        <v>65342992</v>
      </c>
    </row>
    <row r="51" spans="1:9" ht="16.5" x14ac:dyDescent="0.25">
      <c r="A51" s="21">
        <v>50</v>
      </c>
      <c r="B51" s="22" t="s">
        <v>525</v>
      </c>
      <c r="C51" s="26">
        <v>55527667</v>
      </c>
      <c r="D51" s="26">
        <v>13298876</v>
      </c>
      <c r="E51" s="26">
        <v>9375100</v>
      </c>
      <c r="F51" s="26">
        <v>2245336</v>
      </c>
      <c r="G51" s="26">
        <f t="shared" si="0"/>
        <v>80446979</v>
      </c>
      <c r="H51" s="24" t="s">
        <v>575</v>
      </c>
      <c r="I51" s="24">
        <f t="shared" si="1"/>
        <v>64902767</v>
      </c>
    </row>
    <row r="52" spans="1:9" ht="16.5" x14ac:dyDescent="0.25">
      <c r="A52" s="21">
        <v>51</v>
      </c>
      <c r="B52" s="22" t="s">
        <v>438</v>
      </c>
      <c r="C52" s="26">
        <v>55944775</v>
      </c>
      <c r="D52" s="26">
        <v>13398773.612500001</v>
      </c>
      <c r="E52" s="26">
        <v>9445524.5649999995</v>
      </c>
      <c r="F52" s="26">
        <v>2262203.1333174999</v>
      </c>
      <c r="G52" s="26">
        <f t="shared" si="0"/>
        <v>81051276.310817495</v>
      </c>
      <c r="H52" s="24" t="s">
        <v>575</v>
      </c>
      <c r="I52" s="24">
        <f t="shared" si="1"/>
        <v>65390300</v>
      </c>
    </row>
    <row r="53" spans="1:9" ht="16.5" x14ac:dyDescent="0.25">
      <c r="A53" s="21">
        <v>52</v>
      </c>
      <c r="B53" s="22" t="s">
        <v>526</v>
      </c>
      <c r="C53" s="26">
        <v>54868816</v>
      </c>
      <c r="D53" s="26">
        <v>13141081.432000002</v>
      </c>
      <c r="E53" s="26">
        <v>9647000</v>
      </c>
      <c r="F53" s="26">
        <v>2310456.5</v>
      </c>
      <c r="G53" s="26">
        <f t="shared" si="0"/>
        <v>79967353.931999996</v>
      </c>
      <c r="H53" s="24" t="s">
        <v>575</v>
      </c>
      <c r="I53" s="24">
        <f t="shared" si="1"/>
        <v>64515816</v>
      </c>
    </row>
    <row r="54" spans="1:9" ht="16.5" x14ac:dyDescent="0.25">
      <c r="A54" s="21">
        <v>53</v>
      </c>
      <c r="B54" s="22" t="s">
        <v>433</v>
      </c>
      <c r="C54" s="26">
        <v>55921924</v>
      </c>
      <c r="D54" s="26">
        <v>13393300.798</v>
      </c>
      <c r="E54" s="26">
        <v>9441666</v>
      </c>
      <c r="F54" s="26">
        <v>2261279.0070000002</v>
      </c>
      <c r="G54" s="26">
        <f t="shared" si="0"/>
        <v>81018169.805000007</v>
      </c>
      <c r="H54" s="24" t="s">
        <v>575</v>
      </c>
      <c r="I54" s="24">
        <f t="shared" si="1"/>
        <v>65363590</v>
      </c>
    </row>
    <row r="55" spans="1:9" ht="16.5" x14ac:dyDescent="0.25">
      <c r="A55" s="21">
        <v>54</v>
      </c>
      <c r="B55" s="22" t="s">
        <v>527</v>
      </c>
      <c r="C55" s="26">
        <v>55881357.920579754</v>
      </c>
      <c r="D55" s="26">
        <v>13383585.221978851</v>
      </c>
      <c r="E55" s="26">
        <v>9434816</v>
      </c>
      <c r="F55" s="26">
        <v>2259638.4319999996</v>
      </c>
      <c r="G55" s="26">
        <f t="shared" si="0"/>
        <v>80959397.574558601</v>
      </c>
      <c r="H55" s="24" t="s">
        <v>575</v>
      </c>
      <c r="I55" s="24">
        <f t="shared" si="1"/>
        <v>65316174</v>
      </c>
    </row>
    <row r="56" spans="1:9" ht="16.5" x14ac:dyDescent="0.25">
      <c r="A56" s="21">
        <v>55</v>
      </c>
      <c r="B56" s="22" t="s">
        <v>528</v>
      </c>
      <c r="C56" s="26">
        <v>48139456</v>
      </c>
      <c r="D56" s="26">
        <v>8944310.9247999992</v>
      </c>
      <c r="E56" s="26">
        <v>8127723</v>
      </c>
      <c r="F56" s="26">
        <v>1510130.9334</v>
      </c>
      <c r="G56" s="26">
        <f t="shared" si="0"/>
        <v>66721620.858199999</v>
      </c>
      <c r="H56" s="24" t="s">
        <v>575</v>
      </c>
      <c r="I56" s="24">
        <f t="shared" si="1"/>
        <v>56267179</v>
      </c>
    </row>
    <row r="57" spans="1:9" ht="16.5" x14ac:dyDescent="0.25">
      <c r="A57" s="384">
        <v>56</v>
      </c>
      <c r="B57" s="385" t="s">
        <v>422</v>
      </c>
      <c r="C57" s="386" t="s">
        <v>577</v>
      </c>
      <c r="D57" s="386" t="s">
        <v>577</v>
      </c>
      <c r="E57" s="386" t="s">
        <v>577</v>
      </c>
      <c r="F57" s="386" t="s">
        <v>577</v>
      </c>
      <c r="G57" s="386" t="s">
        <v>577</v>
      </c>
      <c r="H57" s="387" t="s">
        <v>576</v>
      </c>
      <c r="I57" s="386" t="s">
        <v>577</v>
      </c>
    </row>
    <row r="58" spans="1:9" ht="16.5" x14ac:dyDescent="0.25">
      <c r="A58" s="384">
        <v>57</v>
      </c>
      <c r="B58" s="385" t="s">
        <v>529</v>
      </c>
      <c r="C58" s="386" t="s">
        <v>577</v>
      </c>
      <c r="D58" s="386" t="s">
        <v>577</v>
      </c>
      <c r="E58" s="386" t="s">
        <v>577</v>
      </c>
      <c r="F58" s="386" t="s">
        <v>577</v>
      </c>
      <c r="G58" s="386" t="s">
        <v>577</v>
      </c>
      <c r="H58" s="387" t="s">
        <v>576</v>
      </c>
      <c r="I58" s="386" t="s">
        <v>577</v>
      </c>
    </row>
    <row r="59" spans="1:9" ht="16.5" x14ac:dyDescent="0.25">
      <c r="A59" s="384">
        <v>58</v>
      </c>
      <c r="B59" s="385" t="s">
        <v>530</v>
      </c>
      <c r="C59" s="386" t="s">
        <v>577</v>
      </c>
      <c r="D59" s="386" t="s">
        <v>577</v>
      </c>
      <c r="E59" s="386" t="s">
        <v>577</v>
      </c>
      <c r="F59" s="386" t="s">
        <v>577</v>
      </c>
      <c r="G59" s="386" t="s">
        <v>577</v>
      </c>
      <c r="H59" s="387" t="s">
        <v>576</v>
      </c>
      <c r="I59" s="386" t="s">
        <v>577</v>
      </c>
    </row>
    <row r="60" spans="1:9" ht="16.5" x14ac:dyDescent="0.25">
      <c r="A60" s="21">
        <v>59</v>
      </c>
      <c r="B60" s="22" t="s">
        <v>531</v>
      </c>
      <c r="C60" s="26">
        <v>55933359</v>
      </c>
      <c r="D60" s="26">
        <v>13396039.4805</v>
      </c>
      <c r="E60" s="26">
        <v>9443595</v>
      </c>
      <c r="F60" s="26">
        <v>2261741.0024999995</v>
      </c>
      <c r="G60" s="26">
        <f t="shared" si="0"/>
        <v>81034734.482999995</v>
      </c>
      <c r="H60" s="24" t="s">
        <v>575</v>
      </c>
      <c r="I60" s="24">
        <f t="shared" si="1"/>
        <v>65376954</v>
      </c>
    </row>
    <row r="61" spans="1:9" ht="16.5" x14ac:dyDescent="0.25">
      <c r="A61" s="384">
        <v>60</v>
      </c>
      <c r="B61" s="385" t="s">
        <v>532</v>
      </c>
      <c r="C61" s="386" t="s">
        <v>577</v>
      </c>
      <c r="D61" s="386" t="s">
        <v>577</v>
      </c>
      <c r="E61" s="386" t="s">
        <v>577</v>
      </c>
      <c r="F61" s="386" t="s">
        <v>577</v>
      </c>
      <c r="G61" s="386" t="s">
        <v>577</v>
      </c>
      <c r="H61" s="387" t="s">
        <v>576</v>
      </c>
      <c r="I61" s="386" t="s">
        <v>577</v>
      </c>
    </row>
    <row r="62" spans="1:9" ht="16.5" x14ac:dyDescent="0.25">
      <c r="A62" s="384">
        <v>61</v>
      </c>
      <c r="B62" s="385" t="s">
        <v>533</v>
      </c>
      <c r="C62" s="386" t="s">
        <v>577</v>
      </c>
      <c r="D62" s="386" t="s">
        <v>577</v>
      </c>
      <c r="E62" s="386" t="s">
        <v>577</v>
      </c>
      <c r="F62" s="386" t="s">
        <v>577</v>
      </c>
      <c r="G62" s="386" t="s">
        <v>577</v>
      </c>
      <c r="H62" s="387" t="s">
        <v>576</v>
      </c>
      <c r="I62" s="386" t="s">
        <v>577</v>
      </c>
    </row>
    <row r="63" spans="1:9" ht="16.5" x14ac:dyDescent="0.25">
      <c r="A63" s="384">
        <v>62</v>
      </c>
      <c r="B63" s="385" t="s">
        <v>534</v>
      </c>
      <c r="C63" s="386" t="s">
        <v>577</v>
      </c>
      <c r="D63" s="386" t="s">
        <v>577</v>
      </c>
      <c r="E63" s="386" t="s">
        <v>577</v>
      </c>
      <c r="F63" s="386" t="s">
        <v>577</v>
      </c>
      <c r="G63" s="386" t="s">
        <v>577</v>
      </c>
      <c r="H63" s="387" t="s">
        <v>576</v>
      </c>
      <c r="I63" s="386" t="s">
        <v>577</v>
      </c>
    </row>
    <row r="64" spans="1:9" ht="16.5" x14ac:dyDescent="0.25">
      <c r="A64" s="384">
        <v>63</v>
      </c>
      <c r="B64" s="385" t="s">
        <v>535</v>
      </c>
      <c r="C64" s="386" t="s">
        <v>577</v>
      </c>
      <c r="D64" s="386" t="s">
        <v>577</v>
      </c>
      <c r="E64" s="386" t="s">
        <v>577</v>
      </c>
      <c r="F64" s="386" t="s">
        <v>577</v>
      </c>
      <c r="G64" s="386" t="s">
        <v>577</v>
      </c>
      <c r="H64" s="387" t="s">
        <v>576</v>
      </c>
      <c r="I64" s="386" t="s">
        <v>577</v>
      </c>
    </row>
    <row r="65" spans="1:9" ht="16.5" x14ac:dyDescent="0.25">
      <c r="A65" s="21">
        <v>64</v>
      </c>
      <c r="B65" s="22" t="s">
        <v>536</v>
      </c>
      <c r="C65" s="26">
        <v>55036271</v>
      </c>
      <c r="D65" s="26">
        <v>13181186.9045</v>
      </c>
      <c r="E65" s="26">
        <v>9292135</v>
      </c>
      <c r="F65" s="26">
        <v>2225466.3325</v>
      </c>
      <c r="G65" s="26">
        <f t="shared" si="0"/>
        <v>79735059.237000003</v>
      </c>
      <c r="H65" s="24" t="s">
        <v>575</v>
      </c>
      <c r="I65" s="24">
        <f t="shared" si="1"/>
        <v>64328406</v>
      </c>
    </row>
    <row r="66" spans="1:9" ht="16.5" x14ac:dyDescent="0.25">
      <c r="A66" s="21">
        <v>65</v>
      </c>
      <c r="B66" s="22" t="s">
        <v>537</v>
      </c>
      <c r="C66" s="26">
        <v>55927641</v>
      </c>
      <c r="D66" s="26">
        <v>13394670.019500002</v>
      </c>
      <c r="E66" s="26">
        <v>9442630</v>
      </c>
      <c r="F66" s="26">
        <v>2261509.8850000002</v>
      </c>
      <c r="G66" s="26">
        <f t="shared" si="0"/>
        <v>81026450.904500008</v>
      </c>
      <c r="H66" s="24" t="s">
        <v>575</v>
      </c>
      <c r="I66" s="24">
        <f t="shared" si="1"/>
        <v>65370271</v>
      </c>
    </row>
    <row r="67" spans="1:9" ht="33" x14ac:dyDescent="0.25">
      <c r="A67" s="21">
        <v>66</v>
      </c>
      <c r="B67" s="22" t="s">
        <v>538</v>
      </c>
      <c r="C67" s="26">
        <v>55881929.310450003</v>
      </c>
      <c r="D67" s="26">
        <v>13383722.069852775</v>
      </c>
      <c r="E67" s="26">
        <v>9434912.6999999993</v>
      </c>
      <c r="F67" s="26">
        <v>2259661.5916500003</v>
      </c>
      <c r="G67" s="26">
        <f t="shared" ref="G67:G101" si="2">SUM(C67:F67)</f>
        <v>80960225.671952769</v>
      </c>
      <c r="H67" s="24" t="s">
        <v>575</v>
      </c>
      <c r="I67" s="24">
        <f t="shared" ref="I67:I101" si="3">ROUND(C67+E67,0)</f>
        <v>65316842</v>
      </c>
    </row>
    <row r="68" spans="1:9" ht="16.5" x14ac:dyDescent="0.25">
      <c r="A68" s="21">
        <v>67</v>
      </c>
      <c r="B68" s="22" t="s">
        <v>469</v>
      </c>
      <c r="C68" s="26">
        <v>55253396</v>
      </c>
      <c r="D68" s="26">
        <v>13238494</v>
      </c>
      <c r="E68" s="26">
        <v>9328794</v>
      </c>
      <c r="F68" s="26">
        <v>2234246.1630000002</v>
      </c>
      <c r="G68" s="26">
        <f t="shared" si="2"/>
        <v>80054930.163000003</v>
      </c>
      <c r="H68" s="24" t="s">
        <v>575</v>
      </c>
      <c r="I68" s="24">
        <f t="shared" si="3"/>
        <v>64582190</v>
      </c>
    </row>
    <row r="69" spans="1:9" ht="16.5" x14ac:dyDescent="0.25">
      <c r="A69" s="21">
        <v>68</v>
      </c>
      <c r="B69" s="22" t="s">
        <v>539</v>
      </c>
      <c r="C69" s="26">
        <v>55275548</v>
      </c>
      <c r="D69" s="26">
        <v>13238494</v>
      </c>
      <c r="E69" s="26">
        <v>9000000</v>
      </c>
      <c r="F69" s="26">
        <v>2155500</v>
      </c>
      <c r="G69" s="26">
        <f t="shared" si="2"/>
        <v>79669542</v>
      </c>
      <c r="H69" s="24" t="s">
        <v>575</v>
      </c>
      <c r="I69" s="24">
        <f t="shared" si="3"/>
        <v>64275548</v>
      </c>
    </row>
    <row r="70" spans="1:9" ht="16.5" x14ac:dyDescent="0.25">
      <c r="A70" s="384">
        <v>69</v>
      </c>
      <c r="B70" s="385" t="s">
        <v>540</v>
      </c>
      <c r="C70" s="386" t="s">
        <v>577</v>
      </c>
      <c r="D70" s="386" t="s">
        <v>577</v>
      </c>
      <c r="E70" s="386" t="s">
        <v>577</v>
      </c>
      <c r="F70" s="386" t="s">
        <v>577</v>
      </c>
      <c r="G70" s="386" t="s">
        <v>577</v>
      </c>
      <c r="H70" s="387" t="s">
        <v>576</v>
      </c>
      <c r="I70" s="386" t="s">
        <v>577</v>
      </c>
    </row>
    <row r="71" spans="1:9" ht="16.5" x14ac:dyDescent="0.25">
      <c r="A71" s="384">
        <v>70</v>
      </c>
      <c r="B71" s="385" t="s">
        <v>541</v>
      </c>
      <c r="C71" s="386" t="s">
        <v>577</v>
      </c>
      <c r="D71" s="386" t="s">
        <v>577</v>
      </c>
      <c r="E71" s="386" t="s">
        <v>577</v>
      </c>
      <c r="F71" s="386" t="s">
        <v>577</v>
      </c>
      <c r="G71" s="386" t="s">
        <v>577</v>
      </c>
      <c r="H71" s="387" t="s">
        <v>576</v>
      </c>
      <c r="I71" s="386" t="s">
        <v>577</v>
      </c>
    </row>
    <row r="72" spans="1:9" ht="16.5" x14ac:dyDescent="0.25">
      <c r="A72" s="21">
        <v>71</v>
      </c>
      <c r="B72" s="22" t="s">
        <v>542</v>
      </c>
      <c r="C72" s="26">
        <v>55047699</v>
      </c>
      <c r="D72" s="26">
        <v>13183923</v>
      </c>
      <c r="E72" s="26">
        <v>9294064</v>
      </c>
      <c r="F72" s="26">
        <v>2225928</v>
      </c>
      <c r="G72" s="26">
        <f t="shared" si="2"/>
        <v>79751614</v>
      </c>
      <c r="H72" s="24" t="s">
        <v>575</v>
      </c>
      <c r="I72" s="24">
        <f t="shared" si="3"/>
        <v>64341763</v>
      </c>
    </row>
    <row r="73" spans="1:9" ht="16.5" x14ac:dyDescent="0.25">
      <c r="A73" s="21">
        <v>72</v>
      </c>
      <c r="B73" s="22" t="s">
        <v>543</v>
      </c>
      <c r="C73" s="26">
        <v>39891734</v>
      </c>
      <c r="D73" s="26">
        <v>9554070.290000001</v>
      </c>
      <c r="E73" s="26">
        <v>9000000</v>
      </c>
      <c r="F73" s="26">
        <v>2155500</v>
      </c>
      <c r="G73" s="26">
        <f t="shared" si="2"/>
        <v>60601304.289999999</v>
      </c>
      <c r="H73" s="24" t="s">
        <v>575</v>
      </c>
      <c r="I73" s="24">
        <f t="shared" si="3"/>
        <v>48891734</v>
      </c>
    </row>
    <row r="74" spans="1:9" ht="16.5" x14ac:dyDescent="0.25">
      <c r="A74" s="21">
        <v>73</v>
      </c>
      <c r="B74" s="22" t="s">
        <v>544</v>
      </c>
      <c r="C74" s="26">
        <v>55741921</v>
      </c>
      <c r="D74" s="26">
        <v>13350190.079500001</v>
      </c>
      <c r="E74" s="26">
        <v>9389000</v>
      </c>
      <c r="F74" s="26">
        <v>2273833.2549999999</v>
      </c>
      <c r="G74" s="26">
        <f t="shared" si="2"/>
        <v>80754944.3345</v>
      </c>
      <c r="H74" s="24" t="s">
        <v>575</v>
      </c>
      <c r="I74" s="24">
        <f t="shared" si="3"/>
        <v>65130921</v>
      </c>
    </row>
    <row r="75" spans="1:9" ht="16.5" x14ac:dyDescent="0.25">
      <c r="A75" s="21">
        <v>74</v>
      </c>
      <c r="B75" s="22" t="s">
        <v>545</v>
      </c>
      <c r="C75" s="26">
        <v>54900800.638849996</v>
      </c>
      <c r="D75" s="26">
        <v>12940118.710576944</v>
      </c>
      <c r="E75" s="26">
        <v>9647150</v>
      </c>
      <c r="F75" s="26">
        <v>2273833.2549999999</v>
      </c>
      <c r="G75" s="26">
        <f t="shared" si="2"/>
        <v>79761902.604426935</v>
      </c>
      <c r="H75" s="24" t="s">
        <v>575</v>
      </c>
      <c r="I75" s="24">
        <f t="shared" si="3"/>
        <v>64547951</v>
      </c>
    </row>
    <row r="76" spans="1:9" ht="16.5" x14ac:dyDescent="0.25">
      <c r="A76" s="21">
        <v>75</v>
      </c>
      <c r="B76" s="22" t="s">
        <v>546</v>
      </c>
      <c r="C76" s="26">
        <v>55350536.731117502</v>
      </c>
      <c r="D76" s="26">
        <v>13256453.547102641</v>
      </c>
      <c r="E76" s="26">
        <v>9345194.2050000001</v>
      </c>
      <c r="F76" s="26">
        <v>2238174.0120975003</v>
      </c>
      <c r="G76" s="26">
        <f t="shared" si="2"/>
        <v>80190358.495317638</v>
      </c>
      <c r="H76" s="24" t="s">
        <v>575</v>
      </c>
      <c r="I76" s="24">
        <f t="shared" si="3"/>
        <v>64695731</v>
      </c>
    </row>
    <row r="77" spans="1:9" ht="16.5" x14ac:dyDescent="0.25">
      <c r="A77" s="384">
        <v>76</v>
      </c>
      <c r="B77" s="385" t="s">
        <v>547</v>
      </c>
      <c r="C77" s="386" t="s">
        <v>577</v>
      </c>
      <c r="D77" s="386" t="s">
        <v>577</v>
      </c>
      <c r="E77" s="386" t="s">
        <v>577</v>
      </c>
      <c r="F77" s="386" t="s">
        <v>577</v>
      </c>
      <c r="G77" s="386" t="s">
        <v>577</v>
      </c>
      <c r="H77" s="387" t="s">
        <v>576</v>
      </c>
      <c r="I77" s="386" t="s">
        <v>577</v>
      </c>
    </row>
    <row r="78" spans="1:9" ht="16.5" x14ac:dyDescent="0.25">
      <c r="A78" s="384">
        <v>77</v>
      </c>
      <c r="B78" s="385" t="s">
        <v>548</v>
      </c>
      <c r="C78" s="386" t="s">
        <v>577</v>
      </c>
      <c r="D78" s="386" t="s">
        <v>577</v>
      </c>
      <c r="E78" s="386" t="s">
        <v>577</v>
      </c>
      <c r="F78" s="386" t="s">
        <v>577</v>
      </c>
      <c r="G78" s="386" t="s">
        <v>577</v>
      </c>
      <c r="H78" s="387" t="s">
        <v>576</v>
      </c>
      <c r="I78" s="386" t="s">
        <v>577</v>
      </c>
    </row>
    <row r="79" spans="1:9" ht="16.5" x14ac:dyDescent="0.25">
      <c r="A79" s="21">
        <v>78</v>
      </c>
      <c r="B79" s="22" t="s">
        <v>549</v>
      </c>
      <c r="C79" s="26">
        <v>55924794</v>
      </c>
      <c r="D79" s="26">
        <v>13393988.163000001</v>
      </c>
      <c r="E79" s="26">
        <v>9442148</v>
      </c>
      <c r="F79" s="26">
        <v>2261394.446</v>
      </c>
      <c r="G79" s="26">
        <f t="shared" si="2"/>
        <v>81022324.608999997</v>
      </c>
      <c r="H79" s="24" t="s">
        <v>575</v>
      </c>
      <c r="I79" s="24">
        <f t="shared" si="3"/>
        <v>65366942</v>
      </c>
    </row>
    <row r="80" spans="1:9" ht="16.5" x14ac:dyDescent="0.25">
      <c r="A80" s="384">
        <v>79</v>
      </c>
      <c r="B80" s="385" t="s">
        <v>550</v>
      </c>
      <c r="C80" s="386" t="s">
        <v>577</v>
      </c>
      <c r="D80" s="386" t="s">
        <v>577</v>
      </c>
      <c r="E80" s="386" t="s">
        <v>577</v>
      </c>
      <c r="F80" s="386" t="s">
        <v>577</v>
      </c>
      <c r="G80" s="386" t="s">
        <v>577</v>
      </c>
      <c r="H80" s="387" t="s">
        <v>576</v>
      </c>
      <c r="I80" s="386" t="s">
        <v>577</v>
      </c>
    </row>
    <row r="81" spans="1:9" ht="16.5" x14ac:dyDescent="0.25">
      <c r="A81" s="21">
        <v>80</v>
      </c>
      <c r="B81" s="22" t="s">
        <v>551</v>
      </c>
      <c r="C81" s="26">
        <v>55653374</v>
      </c>
      <c r="D81" s="26">
        <v>13328983.072999999</v>
      </c>
      <c r="E81" s="26">
        <v>9396324</v>
      </c>
      <c r="F81" s="26">
        <v>2250419.5980000002</v>
      </c>
      <c r="G81" s="26">
        <f t="shared" si="2"/>
        <v>80629100.671000004</v>
      </c>
      <c r="H81" s="24" t="s">
        <v>575</v>
      </c>
      <c r="I81" s="24">
        <f t="shared" si="3"/>
        <v>65049698</v>
      </c>
    </row>
    <row r="82" spans="1:9" ht="16.5" x14ac:dyDescent="0.25">
      <c r="A82" s="384">
        <v>81</v>
      </c>
      <c r="B82" s="385" t="s">
        <v>552</v>
      </c>
      <c r="C82" s="386" t="s">
        <v>577</v>
      </c>
      <c r="D82" s="386" t="s">
        <v>577</v>
      </c>
      <c r="E82" s="386" t="s">
        <v>577</v>
      </c>
      <c r="F82" s="386" t="s">
        <v>577</v>
      </c>
      <c r="G82" s="386" t="s">
        <v>577</v>
      </c>
      <c r="H82" s="387" t="s">
        <v>576</v>
      </c>
      <c r="I82" s="386" t="s">
        <v>577</v>
      </c>
    </row>
    <row r="83" spans="1:9" ht="16.5" x14ac:dyDescent="0.25">
      <c r="A83" s="21">
        <v>82</v>
      </c>
      <c r="B83" s="22" t="s">
        <v>553</v>
      </c>
      <c r="C83" s="26">
        <v>57138845</v>
      </c>
      <c r="D83" s="26">
        <v>12302907.550020002</v>
      </c>
      <c r="E83" s="26">
        <v>9647150</v>
      </c>
      <c r="F83" s="26">
        <v>2077185.7494000001</v>
      </c>
      <c r="G83" s="26">
        <f t="shared" si="2"/>
        <v>81166088.299420014</v>
      </c>
      <c r="H83" s="24" t="s">
        <v>575</v>
      </c>
      <c r="I83" s="24">
        <f t="shared" si="3"/>
        <v>66785995</v>
      </c>
    </row>
    <row r="84" spans="1:9" ht="16.5" x14ac:dyDescent="0.25">
      <c r="A84" s="21">
        <v>83</v>
      </c>
      <c r="B84" s="22" t="s">
        <v>554</v>
      </c>
      <c r="C84" s="26">
        <v>55910498</v>
      </c>
      <c r="D84" s="26">
        <v>13390565</v>
      </c>
      <c r="E84" s="26">
        <v>9439736</v>
      </c>
      <c r="F84" s="26">
        <v>2260814</v>
      </c>
      <c r="G84" s="26">
        <f t="shared" si="2"/>
        <v>81001613</v>
      </c>
      <c r="H84" s="24" t="s">
        <v>575</v>
      </c>
      <c r="I84" s="24">
        <f t="shared" si="3"/>
        <v>65350234</v>
      </c>
    </row>
    <row r="85" spans="1:9" ht="16.5" x14ac:dyDescent="0.25">
      <c r="A85" s="21">
        <v>84</v>
      </c>
      <c r="B85" s="22" t="s">
        <v>555</v>
      </c>
      <c r="C85" s="26">
        <v>55165722</v>
      </c>
      <c r="D85" s="26">
        <v>11557218</v>
      </c>
      <c r="E85" s="26">
        <v>9200000</v>
      </c>
      <c r="F85" s="26">
        <v>1927400</v>
      </c>
      <c r="G85" s="26">
        <f t="shared" si="2"/>
        <v>77850340</v>
      </c>
      <c r="H85" s="24" t="s">
        <v>575</v>
      </c>
      <c r="I85" s="24">
        <f t="shared" si="3"/>
        <v>64365722</v>
      </c>
    </row>
    <row r="86" spans="1:9" ht="16.5" x14ac:dyDescent="0.25">
      <c r="A86" s="384">
        <v>85</v>
      </c>
      <c r="B86" s="385" t="s">
        <v>556</v>
      </c>
      <c r="C86" s="386" t="s">
        <v>577</v>
      </c>
      <c r="D86" s="386" t="s">
        <v>577</v>
      </c>
      <c r="E86" s="386" t="s">
        <v>577</v>
      </c>
      <c r="F86" s="386" t="s">
        <v>577</v>
      </c>
      <c r="G86" s="386" t="s">
        <v>577</v>
      </c>
      <c r="H86" s="387" t="s">
        <v>576</v>
      </c>
      <c r="I86" s="386" t="s">
        <v>577</v>
      </c>
    </row>
    <row r="87" spans="1:9" ht="16.5" x14ac:dyDescent="0.25">
      <c r="A87" s="21">
        <v>86</v>
      </c>
      <c r="B87" s="22" t="s">
        <v>557</v>
      </c>
      <c r="C87" s="26">
        <v>54288487</v>
      </c>
      <c r="D87" s="26">
        <v>13002092.640000001</v>
      </c>
      <c r="E87" s="26">
        <v>9165883</v>
      </c>
      <c r="F87" s="26">
        <v>2195229</v>
      </c>
      <c r="G87" s="26">
        <f t="shared" si="2"/>
        <v>78651691.640000001</v>
      </c>
      <c r="H87" s="24" t="s">
        <v>575</v>
      </c>
      <c r="I87" s="24">
        <f t="shared" si="3"/>
        <v>63454370</v>
      </c>
    </row>
    <row r="88" spans="1:9" ht="16.5" x14ac:dyDescent="0.25">
      <c r="A88" s="384">
        <v>87</v>
      </c>
      <c r="B88" s="385" t="s">
        <v>558</v>
      </c>
      <c r="C88" s="386" t="s">
        <v>577</v>
      </c>
      <c r="D88" s="386" t="s">
        <v>577</v>
      </c>
      <c r="E88" s="386" t="s">
        <v>577</v>
      </c>
      <c r="F88" s="386" t="s">
        <v>577</v>
      </c>
      <c r="G88" s="386" t="s">
        <v>577</v>
      </c>
      <c r="H88" s="387" t="s">
        <v>576</v>
      </c>
      <c r="I88" s="386" t="s">
        <v>577</v>
      </c>
    </row>
    <row r="89" spans="1:9" ht="16.5" x14ac:dyDescent="0.25">
      <c r="A89" s="384">
        <v>88</v>
      </c>
      <c r="B89" s="385" t="s">
        <v>559</v>
      </c>
      <c r="C89" s="386" t="s">
        <v>577</v>
      </c>
      <c r="D89" s="386" t="s">
        <v>577</v>
      </c>
      <c r="E89" s="386" t="s">
        <v>577</v>
      </c>
      <c r="F89" s="386" t="s">
        <v>577</v>
      </c>
      <c r="G89" s="386" t="s">
        <v>577</v>
      </c>
      <c r="H89" s="387" t="s">
        <v>576</v>
      </c>
      <c r="I89" s="386" t="s">
        <v>577</v>
      </c>
    </row>
    <row r="90" spans="1:9" ht="16.5" x14ac:dyDescent="0.25">
      <c r="A90" s="21">
        <v>89</v>
      </c>
      <c r="B90" s="22" t="s">
        <v>560</v>
      </c>
      <c r="C90" s="26">
        <v>55630517</v>
      </c>
      <c r="D90" s="26">
        <v>13323508.8215</v>
      </c>
      <c r="E90" s="26">
        <v>9392465</v>
      </c>
      <c r="F90" s="26">
        <v>2249495.3675000002</v>
      </c>
      <c r="G90" s="26">
        <f t="shared" si="2"/>
        <v>80595986.18900001</v>
      </c>
      <c r="H90" s="24" t="s">
        <v>575</v>
      </c>
      <c r="I90" s="24">
        <f t="shared" si="3"/>
        <v>65022982</v>
      </c>
    </row>
    <row r="91" spans="1:9" ht="16.5" x14ac:dyDescent="0.25">
      <c r="A91" s="21">
        <v>90</v>
      </c>
      <c r="B91" s="22" t="s">
        <v>561</v>
      </c>
      <c r="C91" s="26">
        <v>50612571</v>
      </c>
      <c r="D91" s="26">
        <v>12121711</v>
      </c>
      <c r="E91" s="26">
        <v>9547150</v>
      </c>
      <c r="F91" s="26">
        <v>2286543</v>
      </c>
      <c r="G91" s="26">
        <f t="shared" si="2"/>
        <v>74567975</v>
      </c>
      <c r="H91" s="24" t="s">
        <v>575</v>
      </c>
      <c r="I91" s="24">
        <f t="shared" si="3"/>
        <v>60159721</v>
      </c>
    </row>
    <row r="92" spans="1:9" ht="16.5" x14ac:dyDescent="0.25">
      <c r="A92" s="21">
        <v>91</v>
      </c>
      <c r="B92" s="22" t="s">
        <v>562</v>
      </c>
      <c r="C92" s="26">
        <v>55586617</v>
      </c>
      <c r="D92" s="26">
        <v>13312995</v>
      </c>
      <c r="E92" s="26">
        <v>9454207</v>
      </c>
      <c r="F92" s="26">
        <v>2264283</v>
      </c>
      <c r="G92" s="26">
        <f t="shared" si="2"/>
        <v>80618102</v>
      </c>
      <c r="H92" s="24" t="s">
        <v>575</v>
      </c>
      <c r="I92" s="24">
        <f t="shared" si="3"/>
        <v>65040824</v>
      </c>
    </row>
    <row r="93" spans="1:9" ht="16.5" x14ac:dyDescent="0.25">
      <c r="A93" s="21">
        <v>92</v>
      </c>
      <c r="B93" s="22" t="s">
        <v>563</v>
      </c>
      <c r="C93" s="26">
        <v>54510594</v>
      </c>
      <c r="D93" s="26">
        <v>13055287</v>
      </c>
      <c r="E93" s="26">
        <v>9203381</v>
      </c>
      <c r="F93" s="26">
        <v>2204210</v>
      </c>
      <c r="G93" s="26">
        <f t="shared" si="2"/>
        <v>78973472</v>
      </c>
      <c r="H93" s="24" t="s">
        <v>575</v>
      </c>
      <c r="I93" s="24">
        <f t="shared" si="3"/>
        <v>63713975</v>
      </c>
    </row>
    <row r="94" spans="1:9" ht="16.5" x14ac:dyDescent="0.25">
      <c r="A94" s="384">
        <v>93</v>
      </c>
      <c r="B94" s="385" t="s">
        <v>564</v>
      </c>
      <c r="C94" s="386" t="s">
        <v>577</v>
      </c>
      <c r="D94" s="386" t="s">
        <v>577</v>
      </c>
      <c r="E94" s="386" t="s">
        <v>577</v>
      </c>
      <c r="F94" s="386" t="s">
        <v>577</v>
      </c>
      <c r="G94" s="386" t="s">
        <v>577</v>
      </c>
      <c r="H94" s="387" t="s">
        <v>576</v>
      </c>
      <c r="I94" s="386" t="s">
        <v>577</v>
      </c>
    </row>
    <row r="95" spans="1:9" ht="16.5" x14ac:dyDescent="0.25">
      <c r="A95" s="21">
        <v>94</v>
      </c>
      <c r="B95" s="22" t="s">
        <v>510</v>
      </c>
      <c r="C95" s="26">
        <v>54682012</v>
      </c>
      <c r="D95" s="26">
        <v>13096341.874</v>
      </c>
      <c r="E95" s="26">
        <v>9232323</v>
      </c>
      <c r="F95" s="26">
        <v>2211141.3585000001</v>
      </c>
      <c r="G95" s="26">
        <f t="shared" si="2"/>
        <v>79221818.232500002</v>
      </c>
      <c r="H95" s="24" t="s">
        <v>575</v>
      </c>
      <c r="I95" s="24">
        <f t="shared" si="3"/>
        <v>63914335</v>
      </c>
    </row>
    <row r="96" spans="1:9" ht="16.5" x14ac:dyDescent="0.25">
      <c r="A96" s="21">
        <v>95</v>
      </c>
      <c r="B96" s="22" t="s">
        <v>565</v>
      </c>
      <c r="C96" s="26">
        <v>54036340.029542498</v>
      </c>
      <c r="D96" s="26">
        <v>12941703.437075431</v>
      </c>
      <c r="E96" s="26">
        <v>9123309.754999999</v>
      </c>
      <c r="F96" s="26">
        <v>2185032.6863224995</v>
      </c>
      <c r="G96" s="26">
        <f t="shared" si="2"/>
        <v>78286385.907940418</v>
      </c>
      <c r="H96" s="24" t="s">
        <v>575</v>
      </c>
      <c r="I96" s="24">
        <f t="shared" si="3"/>
        <v>63159650</v>
      </c>
    </row>
    <row r="97" spans="1:9" ht="16.5" x14ac:dyDescent="0.25">
      <c r="A97" s="384">
        <v>96</v>
      </c>
      <c r="B97" s="385" t="s">
        <v>566</v>
      </c>
      <c r="C97" s="386" t="s">
        <v>577</v>
      </c>
      <c r="D97" s="386" t="s">
        <v>577</v>
      </c>
      <c r="E97" s="386" t="s">
        <v>577</v>
      </c>
      <c r="F97" s="386" t="s">
        <v>577</v>
      </c>
      <c r="G97" s="386" t="s">
        <v>577</v>
      </c>
      <c r="H97" s="387" t="s">
        <v>576</v>
      </c>
      <c r="I97" s="386" t="s">
        <v>577</v>
      </c>
    </row>
    <row r="98" spans="1:9" ht="16.5" x14ac:dyDescent="0.25">
      <c r="A98" s="384">
        <v>97</v>
      </c>
      <c r="B98" s="385" t="s">
        <v>567</v>
      </c>
      <c r="C98" s="386" t="s">
        <v>577</v>
      </c>
      <c r="D98" s="386" t="s">
        <v>577</v>
      </c>
      <c r="E98" s="386" t="s">
        <v>577</v>
      </c>
      <c r="F98" s="386" t="s">
        <v>577</v>
      </c>
      <c r="G98" s="386" t="s">
        <v>577</v>
      </c>
      <c r="H98" s="387" t="s">
        <v>576</v>
      </c>
      <c r="I98" s="386" t="s">
        <v>577</v>
      </c>
    </row>
    <row r="99" spans="1:9" ht="16.5" x14ac:dyDescent="0.25">
      <c r="A99" s="384">
        <v>98</v>
      </c>
      <c r="B99" s="385" t="s">
        <v>568</v>
      </c>
      <c r="C99" s="386" t="s">
        <v>577</v>
      </c>
      <c r="D99" s="386" t="s">
        <v>577</v>
      </c>
      <c r="E99" s="386" t="s">
        <v>577</v>
      </c>
      <c r="F99" s="386" t="s">
        <v>577</v>
      </c>
      <c r="G99" s="386" t="s">
        <v>577</v>
      </c>
      <c r="H99" s="387" t="s">
        <v>576</v>
      </c>
      <c r="I99" s="386" t="s">
        <v>577</v>
      </c>
    </row>
    <row r="100" spans="1:9" ht="16.5" x14ac:dyDescent="0.25">
      <c r="A100" s="384">
        <v>99</v>
      </c>
      <c r="B100" s="385" t="s">
        <v>453</v>
      </c>
      <c r="C100" s="386" t="s">
        <v>577</v>
      </c>
      <c r="D100" s="386" t="s">
        <v>577</v>
      </c>
      <c r="E100" s="386" t="s">
        <v>577</v>
      </c>
      <c r="F100" s="386" t="s">
        <v>577</v>
      </c>
      <c r="G100" s="386" t="s">
        <v>577</v>
      </c>
      <c r="H100" s="387" t="s">
        <v>576</v>
      </c>
      <c r="I100" s="386" t="s">
        <v>577</v>
      </c>
    </row>
    <row r="101" spans="1:9" ht="16.5" x14ac:dyDescent="0.25">
      <c r="A101" s="21">
        <v>100</v>
      </c>
      <c r="B101" s="22" t="s">
        <v>569</v>
      </c>
      <c r="C101" s="26">
        <v>52665006</v>
      </c>
      <c r="D101" s="26">
        <v>12613268.5</v>
      </c>
      <c r="E101" s="26">
        <v>8891778</v>
      </c>
      <c r="F101" s="26">
        <v>2129580.91</v>
      </c>
      <c r="G101" s="26">
        <f t="shared" si="2"/>
        <v>76299633.409999996</v>
      </c>
      <c r="H101" s="24" t="s">
        <v>575</v>
      </c>
      <c r="I101" s="24">
        <f t="shared" si="3"/>
        <v>61556784</v>
      </c>
    </row>
    <row r="102" spans="1:9" ht="16.5" x14ac:dyDescent="0.25">
      <c r="A102" s="384">
        <v>101</v>
      </c>
      <c r="B102" s="385" t="s">
        <v>429</v>
      </c>
      <c r="C102" s="386" t="s">
        <v>577</v>
      </c>
      <c r="D102" s="386" t="s">
        <v>577</v>
      </c>
      <c r="E102" s="386" t="s">
        <v>577</v>
      </c>
      <c r="F102" s="386" t="s">
        <v>577</v>
      </c>
      <c r="G102" s="386" t="s">
        <v>577</v>
      </c>
      <c r="H102" s="387" t="s">
        <v>576</v>
      </c>
      <c r="I102" s="386" t="s">
        <v>577</v>
      </c>
    </row>
  </sheetData>
  <autoFilter ref="A1:I102" xr:uid="{99AA7CA4-88A4-4018-BA11-53DBC40F642B}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475D7-B44A-1F46-B536-6711F50F3061}">
  <sheetPr filterMode="1"/>
  <dimension ref="A1:L103"/>
  <sheetViews>
    <sheetView tabSelected="1" zoomScale="110" zoomScaleNormal="110" workbookViewId="0">
      <selection activeCell="M88" sqref="M88"/>
    </sheetView>
  </sheetViews>
  <sheetFormatPr baseColWidth="10" defaultRowHeight="15" x14ac:dyDescent="0.25"/>
  <cols>
    <col min="1" max="1" width="4.28515625" customWidth="1"/>
    <col min="2" max="2" width="41.85546875" customWidth="1"/>
    <col min="3" max="3" width="15.42578125" customWidth="1"/>
    <col min="4" max="4" width="13.85546875" customWidth="1"/>
    <col min="5" max="5" width="14" customWidth="1"/>
    <col min="6" max="6" width="32.42578125" customWidth="1"/>
    <col min="7" max="7" width="14" style="28" customWidth="1"/>
    <col min="8" max="8" width="26.7109375" customWidth="1"/>
    <col min="9" max="9" width="14.42578125" hidden="1" customWidth="1"/>
    <col min="10" max="10" width="12.42578125" hidden="1" customWidth="1"/>
    <col min="12" max="12" width="15.42578125" bestFit="1" customWidth="1"/>
  </cols>
  <sheetData>
    <row r="1" spans="1:12" ht="16.5" x14ac:dyDescent="0.25">
      <c r="A1" s="444" t="s">
        <v>579</v>
      </c>
      <c r="B1" s="444"/>
      <c r="C1" s="444"/>
      <c r="D1" s="444"/>
      <c r="E1" s="444"/>
      <c r="F1" s="444"/>
      <c r="G1" s="442">
        <f>AVERAGE(G4,G5,G6,G7,G9,G13,G16,G18,G21,G24,G26,G31,G33,G34,G36,G37,G38,G40,G41,G42,G43,G45,G51,G52,G53,G54,G55,G56,G61,G66,G67,G68,G69,G70,G73,G74,G75,G76,G77,G80,G82,G84,G85,G86,G88,G91,G93,G94,G96,G97,G102)</f>
        <v>64363609.450980395</v>
      </c>
      <c r="H1" s="443"/>
    </row>
    <row r="2" spans="1:12" ht="66" x14ac:dyDescent="0.25">
      <c r="A2" s="20" t="s">
        <v>139</v>
      </c>
      <c r="B2" s="20" t="s">
        <v>140</v>
      </c>
      <c r="C2" s="25" t="s">
        <v>479</v>
      </c>
      <c r="D2" s="25" t="s">
        <v>480</v>
      </c>
      <c r="E2" s="25" t="s">
        <v>142</v>
      </c>
      <c r="F2" s="20" t="s">
        <v>141</v>
      </c>
      <c r="G2" s="25" t="s">
        <v>144</v>
      </c>
      <c r="H2" s="25" t="s">
        <v>143</v>
      </c>
      <c r="I2" s="358" t="s">
        <v>477</v>
      </c>
      <c r="J2" s="358" t="s">
        <v>478</v>
      </c>
      <c r="L2" s="380"/>
    </row>
    <row r="3" spans="1:12" ht="16.5" hidden="1" x14ac:dyDescent="0.25">
      <c r="A3" s="21">
        <v>1</v>
      </c>
      <c r="B3" s="22" t="s">
        <v>481</v>
      </c>
      <c r="C3" s="26" t="s">
        <v>577</v>
      </c>
      <c r="D3" s="26" t="s">
        <v>577</v>
      </c>
      <c r="E3" s="26" t="s">
        <v>577</v>
      </c>
      <c r="F3" s="27" t="s">
        <v>576</v>
      </c>
      <c r="G3" s="389" t="s">
        <v>577</v>
      </c>
      <c r="H3" s="382">
        <v>0</v>
      </c>
      <c r="I3" s="359" t="e">
        <f>#REF!-E3</f>
        <v>#REF!</v>
      </c>
      <c r="J3" s="359" t="e">
        <f>ABS(I3)</f>
        <v>#REF!</v>
      </c>
    </row>
    <row r="4" spans="1:12" ht="16.5" x14ac:dyDescent="0.25">
      <c r="A4" s="21">
        <v>2</v>
      </c>
      <c r="B4" s="22" t="s">
        <v>482</v>
      </c>
      <c r="C4" s="26">
        <v>54730826</v>
      </c>
      <c r="D4" s="26">
        <v>9240565</v>
      </c>
      <c r="E4" s="26">
        <f t="shared" ref="E4:E38" si="0">C4+D4</f>
        <v>63971391</v>
      </c>
      <c r="F4" s="27" t="s">
        <v>575</v>
      </c>
      <c r="G4" s="381">
        <f t="shared" ref="G4:G67" si="1">ROUND(E4,0)</f>
        <v>63971391</v>
      </c>
      <c r="H4" s="382">
        <f>68.5*(1-(($G$1-G4)/$G$1))</f>
        <v>68.08257524521494</v>
      </c>
      <c r="I4" s="359" t="e">
        <f>#REF!-E4</f>
        <v>#REF!</v>
      </c>
      <c r="J4" s="359" t="e">
        <f t="shared" ref="J4:J67" si="2">ABS(I4)</f>
        <v>#REF!</v>
      </c>
    </row>
    <row r="5" spans="1:12" ht="16.5" x14ac:dyDescent="0.25">
      <c r="A5" s="21">
        <v>3</v>
      </c>
      <c r="B5" s="22" t="s">
        <v>483</v>
      </c>
      <c r="C5" s="26">
        <v>54110624</v>
      </c>
      <c r="D5" s="26">
        <v>9135851</v>
      </c>
      <c r="E5" s="26">
        <f t="shared" si="0"/>
        <v>63246475</v>
      </c>
      <c r="F5" s="27" t="s">
        <v>575</v>
      </c>
      <c r="G5" s="381">
        <f t="shared" si="1"/>
        <v>63246475</v>
      </c>
      <c r="H5" s="382">
        <f>68.5*(1-(($G$1-G5)/$G$1))</f>
        <v>67.31107180680354</v>
      </c>
      <c r="I5" s="359" t="e">
        <f>#REF!-E5</f>
        <v>#REF!</v>
      </c>
      <c r="J5" s="359" t="e">
        <f t="shared" si="2"/>
        <v>#REF!</v>
      </c>
    </row>
    <row r="6" spans="1:12" ht="33" x14ac:dyDescent="0.25">
      <c r="A6" s="21">
        <v>4</v>
      </c>
      <c r="B6" s="22" t="s">
        <v>484</v>
      </c>
      <c r="C6" s="26">
        <v>54941332</v>
      </c>
      <c r="D6" s="26">
        <v>9276106</v>
      </c>
      <c r="E6" s="26">
        <f t="shared" si="0"/>
        <v>64217438</v>
      </c>
      <c r="F6" s="27" t="s">
        <v>575</v>
      </c>
      <c r="G6" s="381">
        <f t="shared" si="1"/>
        <v>64217438</v>
      </c>
      <c r="H6" s="382">
        <f>68.5*(1-(($G$1-G6)/$G$1))</f>
        <v>68.34443469722153</v>
      </c>
      <c r="I6" s="359" t="e">
        <f>#REF!-E6</f>
        <v>#REF!</v>
      </c>
      <c r="J6" s="359" t="e">
        <f t="shared" si="2"/>
        <v>#REF!</v>
      </c>
    </row>
    <row r="7" spans="1:12" ht="16.5" x14ac:dyDescent="0.25">
      <c r="A7" s="21">
        <v>5</v>
      </c>
      <c r="B7" s="22" t="s">
        <v>425</v>
      </c>
      <c r="C7" s="26">
        <v>55253396</v>
      </c>
      <c r="D7" s="26">
        <v>8968000</v>
      </c>
      <c r="E7" s="26">
        <f t="shared" si="0"/>
        <v>64221396</v>
      </c>
      <c r="F7" s="27" t="s">
        <v>575</v>
      </c>
      <c r="G7" s="381">
        <f t="shared" si="1"/>
        <v>64221396</v>
      </c>
      <c r="H7" s="382">
        <f>68.5*(1-(($G$1-G7)/$G$1))</f>
        <v>68.348647061977218</v>
      </c>
      <c r="I7" s="359" t="e">
        <f>#REF!-E7</f>
        <v>#REF!</v>
      </c>
      <c r="J7" s="359" t="e">
        <f t="shared" si="2"/>
        <v>#REF!</v>
      </c>
    </row>
    <row r="8" spans="1:12" ht="16.5" hidden="1" x14ac:dyDescent="0.25">
      <c r="A8" s="21">
        <v>6</v>
      </c>
      <c r="B8" s="22" t="s">
        <v>485</v>
      </c>
      <c r="C8" s="26" t="s">
        <v>577</v>
      </c>
      <c r="D8" s="26" t="s">
        <v>577</v>
      </c>
      <c r="E8" s="26" t="s">
        <v>577</v>
      </c>
      <c r="F8" s="27" t="s">
        <v>576</v>
      </c>
      <c r="G8" s="26" t="s">
        <v>577</v>
      </c>
      <c r="H8" s="382">
        <v>0</v>
      </c>
      <c r="I8" s="359"/>
      <c r="J8" s="359">
        <f t="shared" si="2"/>
        <v>0</v>
      </c>
    </row>
    <row r="9" spans="1:12" ht="16.5" x14ac:dyDescent="0.25">
      <c r="A9" s="21">
        <v>7</v>
      </c>
      <c r="B9" s="22" t="s">
        <v>486</v>
      </c>
      <c r="C9" s="26">
        <v>49702828</v>
      </c>
      <c r="D9" s="26">
        <v>9454207</v>
      </c>
      <c r="E9" s="26">
        <f t="shared" si="0"/>
        <v>59157035</v>
      </c>
      <c r="F9" s="27" t="s">
        <v>575</v>
      </c>
      <c r="G9" s="381">
        <f t="shared" si="1"/>
        <v>59157035</v>
      </c>
      <c r="H9" s="382">
        <f>68.5*(1-(($G$1-G9)/$G$1))</f>
        <v>62.958819930479763</v>
      </c>
      <c r="I9" s="359" t="e">
        <f>#REF!-E9</f>
        <v>#REF!</v>
      </c>
      <c r="J9" s="359" t="e">
        <f t="shared" si="2"/>
        <v>#REF!</v>
      </c>
    </row>
    <row r="10" spans="1:12" ht="16.5" hidden="1" x14ac:dyDescent="0.25">
      <c r="A10" s="21">
        <v>8</v>
      </c>
      <c r="B10" s="22" t="s">
        <v>420</v>
      </c>
      <c r="C10" s="26" t="s">
        <v>577</v>
      </c>
      <c r="D10" s="26" t="s">
        <v>577</v>
      </c>
      <c r="E10" s="26" t="s">
        <v>577</v>
      </c>
      <c r="F10" s="27" t="s">
        <v>576</v>
      </c>
      <c r="G10" s="26" t="s">
        <v>577</v>
      </c>
      <c r="H10" s="382">
        <v>0</v>
      </c>
      <c r="I10" s="359" t="e">
        <f>#REF!-E10</f>
        <v>#REF!</v>
      </c>
      <c r="J10" s="359" t="e">
        <f t="shared" si="2"/>
        <v>#REF!</v>
      </c>
    </row>
    <row r="11" spans="1:12" ht="16.5" hidden="1" x14ac:dyDescent="0.25">
      <c r="A11" s="21">
        <v>9</v>
      </c>
      <c r="B11" s="22" t="s">
        <v>487</v>
      </c>
      <c r="C11" s="26" t="s">
        <v>577</v>
      </c>
      <c r="D11" s="26" t="s">
        <v>577</v>
      </c>
      <c r="E11" s="26" t="s">
        <v>577</v>
      </c>
      <c r="F11" s="27" t="s">
        <v>576</v>
      </c>
      <c r="G11" s="26" t="s">
        <v>577</v>
      </c>
      <c r="H11" s="382">
        <v>0</v>
      </c>
      <c r="I11" s="359" t="e">
        <f>#REF!-E11</f>
        <v>#REF!</v>
      </c>
      <c r="J11" s="359" t="e">
        <f t="shared" si="2"/>
        <v>#REF!</v>
      </c>
    </row>
    <row r="12" spans="1:12" ht="16.5" hidden="1" x14ac:dyDescent="0.25">
      <c r="A12" s="21">
        <v>10</v>
      </c>
      <c r="B12" s="22" t="s">
        <v>488</v>
      </c>
      <c r="C12" s="26" t="s">
        <v>577</v>
      </c>
      <c r="D12" s="26" t="s">
        <v>577</v>
      </c>
      <c r="E12" s="26" t="s">
        <v>577</v>
      </c>
      <c r="F12" s="27" t="s">
        <v>576</v>
      </c>
      <c r="G12" s="26" t="s">
        <v>577</v>
      </c>
      <c r="H12" s="382">
        <v>0</v>
      </c>
      <c r="I12" s="359" t="e">
        <f>#REF!-E12</f>
        <v>#REF!</v>
      </c>
      <c r="J12" s="359" t="e">
        <f t="shared" si="2"/>
        <v>#REF!</v>
      </c>
    </row>
    <row r="13" spans="1:12" ht="16.5" x14ac:dyDescent="0.25">
      <c r="A13" s="21">
        <v>11</v>
      </c>
      <c r="B13" s="22" t="s">
        <v>489</v>
      </c>
      <c r="C13" s="26">
        <v>55139125</v>
      </c>
      <c r="D13" s="26">
        <v>9309500</v>
      </c>
      <c r="E13" s="26">
        <f t="shared" si="0"/>
        <v>64448625</v>
      </c>
      <c r="F13" s="27" t="s">
        <v>575</v>
      </c>
      <c r="G13" s="381">
        <f t="shared" si="1"/>
        <v>64448625</v>
      </c>
      <c r="H13" s="382">
        <f>68.5*ABS(1-2-(($G$1-G13)/$G$1))</f>
        <v>68.409520843260381</v>
      </c>
      <c r="I13" s="359" t="e">
        <f>#REF!-E13</f>
        <v>#REF!</v>
      </c>
      <c r="J13" s="359" t="e">
        <f t="shared" si="2"/>
        <v>#REF!</v>
      </c>
    </row>
    <row r="14" spans="1:12" ht="16.5" hidden="1" x14ac:dyDescent="0.25">
      <c r="A14" s="21">
        <v>12</v>
      </c>
      <c r="B14" s="22" t="s">
        <v>490</v>
      </c>
      <c r="C14" s="26" t="s">
        <v>577</v>
      </c>
      <c r="D14" s="26" t="s">
        <v>577</v>
      </c>
      <c r="E14" s="26" t="s">
        <v>577</v>
      </c>
      <c r="F14" s="27" t="s">
        <v>576</v>
      </c>
      <c r="G14" s="26" t="s">
        <v>577</v>
      </c>
      <c r="H14" s="382">
        <v>0</v>
      </c>
      <c r="I14" s="359" t="e">
        <f>#REF!-E14</f>
        <v>#REF!</v>
      </c>
      <c r="J14" s="359" t="e">
        <f t="shared" si="2"/>
        <v>#REF!</v>
      </c>
    </row>
    <row r="15" spans="1:12" ht="16.5" hidden="1" x14ac:dyDescent="0.25">
      <c r="A15" s="21">
        <v>13</v>
      </c>
      <c r="B15" s="22" t="s">
        <v>491</v>
      </c>
      <c r="C15" s="26" t="s">
        <v>577</v>
      </c>
      <c r="D15" s="26" t="s">
        <v>577</v>
      </c>
      <c r="E15" s="26" t="s">
        <v>577</v>
      </c>
      <c r="F15" s="27" t="s">
        <v>576</v>
      </c>
      <c r="G15" s="26" t="s">
        <v>577</v>
      </c>
      <c r="H15" s="382">
        <v>0</v>
      </c>
      <c r="I15" s="359" t="e">
        <f>#REF!-E15</f>
        <v>#REF!</v>
      </c>
      <c r="J15" s="359" t="e">
        <f t="shared" si="2"/>
        <v>#REF!</v>
      </c>
    </row>
    <row r="16" spans="1:12" ht="16.5" x14ac:dyDescent="0.25">
      <c r="A16" s="21">
        <v>14</v>
      </c>
      <c r="B16" s="22" t="s">
        <v>269</v>
      </c>
      <c r="C16" s="26">
        <v>56352394</v>
      </c>
      <c r="D16" s="61">
        <v>9514343</v>
      </c>
      <c r="E16" s="26">
        <f t="shared" si="0"/>
        <v>65866737</v>
      </c>
      <c r="F16" s="27" t="s">
        <v>575</v>
      </c>
      <c r="G16" s="381">
        <f t="shared" si="1"/>
        <v>65866737</v>
      </c>
      <c r="H16" s="382">
        <f>68.5*ABS(1-2-(($G$1-G16)/$G$1))</f>
        <v>66.900272483378032</v>
      </c>
      <c r="I16" s="359" t="e">
        <f>#REF!-E16</f>
        <v>#REF!</v>
      </c>
      <c r="J16" s="359" t="e">
        <f t="shared" si="2"/>
        <v>#REF!</v>
      </c>
    </row>
    <row r="17" spans="1:10" ht="16.5" hidden="1" x14ac:dyDescent="0.25">
      <c r="A17" s="21">
        <v>15</v>
      </c>
      <c r="B17" s="22" t="s">
        <v>492</v>
      </c>
      <c r="C17" s="26" t="s">
        <v>577</v>
      </c>
      <c r="D17" s="26" t="s">
        <v>577</v>
      </c>
      <c r="E17" s="26" t="s">
        <v>577</v>
      </c>
      <c r="F17" s="27" t="s">
        <v>576</v>
      </c>
      <c r="G17" s="26" t="s">
        <v>577</v>
      </c>
      <c r="H17" s="382">
        <v>0</v>
      </c>
      <c r="I17" s="359" t="e">
        <f>#REF!-E17</f>
        <v>#REF!</v>
      </c>
      <c r="J17" s="359" t="e">
        <f t="shared" si="2"/>
        <v>#REF!</v>
      </c>
    </row>
    <row r="18" spans="1:10" ht="16.5" x14ac:dyDescent="0.25">
      <c r="A18" s="21">
        <v>16</v>
      </c>
      <c r="B18" s="22" t="s">
        <v>493</v>
      </c>
      <c r="C18" s="26">
        <v>56373325</v>
      </c>
      <c r="D18" s="26">
        <v>9500000</v>
      </c>
      <c r="E18" s="26">
        <f t="shared" si="0"/>
        <v>65873325</v>
      </c>
      <c r="F18" s="27" t="s">
        <v>575</v>
      </c>
      <c r="G18" s="381">
        <f t="shared" si="1"/>
        <v>65873325</v>
      </c>
      <c r="H18" s="382">
        <f>68.5*ABS(1-2-(($G$1-G18)/$G$1))</f>
        <v>66.89326109909041</v>
      </c>
      <c r="I18" s="359"/>
      <c r="J18" s="359">
        <f t="shared" si="2"/>
        <v>0</v>
      </c>
    </row>
    <row r="19" spans="1:10" ht="16.5" hidden="1" x14ac:dyDescent="0.25">
      <c r="A19" s="21">
        <v>17</v>
      </c>
      <c r="B19" s="22" t="s">
        <v>494</v>
      </c>
      <c r="C19" s="26" t="s">
        <v>577</v>
      </c>
      <c r="D19" s="26" t="s">
        <v>577</v>
      </c>
      <c r="E19" s="26" t="s">
        <v>577</v>
      </c>
      <c r="F19" s="27" t="s">
        <v>576</v>
      </c>
      <c r="G19" s="26" t="s">
        <v>577</v>
      </c>
      <c r="H19" s="382">
        <v>0</v>
      </c>
      <c r="I19" s="359" t="e">
        <f>#REF!-E19</f>
        <v>#REF!</v>
      </c>
      <c r="J19" s="359" t="e">
        <f t="shared" si="2"/>
        <v>#REF!</v>
      </c>
    </row>
    <row r="20" spans="1:10" ht="16.5" hidden="1" x14ac:dyDescent="0.25">
      <c r="A20" s="21">
        <v>18</v>
      </c>
      <c r="B20" s="22" t="s">
        <v>495</v>
      </c>
      <c r="C20" s="26" t="s">
        <v>577</v>
      </c>
      <c r="D20" s="26" t="s">
        <v>577</v>
      </c>
      <c r="E20" s="26" t="s">
        <v>577</v>
      </c>
      <c r="F20" s="27" t="s">
        <v>576</v>
      </c>
      <c r="G20" s="26" t="s">
        <v>577</v>
      </c>
      <c r="H20" s="382">
        <v>0</v>
      </c>
      <c r="I20" s="359" t="e">
        <f>#REF!-E20</f>
        <v>#REF!</v>
      </c>
      <c r="J20" s="359" t="e">
        <f t="shared" si="2"/>
        <v>#REF!</v>
      </c>
    </row>
    <row r="21" spans="1:10" ht="16.5" x14ac:dyDescent="0.25">
      <c r="A21" s="21">
        <v>19</v>
      </c>
      <c r="B21" s="62" t="s">
        <v>496</v>
      </c>
      <c r="C21" s="26">
        <v>55310545</v>
      </c>
      <c r="D21" s="26">
        <v>9338441</v>
      </c>
      <c r="E21" s="26">
        <f t="shared" si="0"/>
        <v>64648986</v>
      </c>
      <c r="F21" s="27" t="s">
        <v>575</v>
      </c>
      <c r="G21" s="381">
        <f t="shared" si="1"/>
        <v>64648986</v>
      </c>
      <c r="H21" s="382">
        <f>68.5*ABS(1-2-(($G$1-G21)/$G$1))</f>
        <v>68.19628344689508</v>
      </c>
      <c r="I21" s="359" t="e">
        <f>#REF!-E21</f>
        <v>#REF!</v>
      </c>
      <c r="J21" s="359" t="e">
        <f t="shared" si="2"/>
        <v>#REF!</v>
      </c>
    </row>
    <row r="22" spans="1:10" ht="16.5" hidden="1" x14ac:dyDescent="0.25">
      <c r="A22" s="21">
        <v>20</v>
      </c>
      <c r="B22" s="22" t="s">
        <v>497</v>
      </c>
      <c r="C22" s="26" t="s">
        <v>577</v>
      </c>
      <c r="D22" s="26" t="s">
        <v>577</v>
      </c>
      <c r="E22" s="26" t="s">
        <v>577</v>
      </c>
      <c r="F22" s="27" t="s">
        <v>576</v>
      </c>
      <c r="G22" s="26" t="s">
        <v>577</v>
      </c>
      <c r="H22" s="382">
        <v>0</v>
      </c>
      <c r="I22" s="359"/>
      <c r="J22" s="359">
        <f t="shared" si="2"/>
        <v>0</v>
      </c>
    </row>
    <row r="23" spans="1:10" ht="16.5" hidden="1" x14ac:dyDescent="0.25">
      <c r="A23" s="21">
        <v>21</v>
      </c>
      <c r="B23" s="22" t="s">
        <v>498</v>
      </c>
      <c r="C23" s="26" t="s">
        <v>577</v>
      </c>
      <c r="D23" s="26" t="s">
        <v>577</v>
      </c>
      <c r="E23" s="26" t="s">
        <v>577</v>
      </c>
      <c r="F23" s="27" t="s">
        <v>576</v>
      </c>
      <c r="G23" s="26" t="s">
        <v>577</v>
      </c>
      <c r="H23" s="382">
        <v>0</v>
      </c>
      <c r="I23" s="359" t="e">
        <f>#REF!-E23</f>
        <v>#REF!</v>
      </c>
      <c r="J23" s="359" t="e">
        <f t="shared" si="2"/>
        <v>#REF!</v>
      </c>
    </row>
    <row r="24" spans="1:10" ht="16.5" x14ac:dyDescent="0.25">
      <c r="A24" s="21">
        <v>22</v>
      </c>
      <c r="B24" s="22" t="s">
        <v>499</v>
      </c>
      <c r="C24" s="26">
        <v>54984847.214157507</v>
      </c>
      <c r="D24" s="61">
        <v>9283452.4450000003</v>
      </c>
      <c r="E24" s="26">
        <f t="shared" si="0"/>
        <v>64268299.659157507</v>
      </c>
      <c r="F24" s="27" t="s">
        <v>575</v>
      </c>
      <c r="G24" s="381">
        <f t="shared" si="1"/>
        <v>64268300</v>
      </c>
      <c r="H24" s="382">
        <f>68.5*(1-(($G$1-G24)/$G$1))</f>
        <v>68.398565393584249</v>
      </c>
      <c r="I24" s="359" t="e">
        <f>#REF!-E24</f>
        <v>#REF!</v>
      </c>
      <c r="J24" s="359" t="e">
        <f t="shared" si="2"/>
        <v>#REF!</v>
      </c>
    </row>
    <row r="25" spans="1:10" ht="16.5" hidden="1" x14ac:dyDescent="0.25">
      <c r="A25" s="21">
        <v>23</v>
      </c>
      <c r="B25" s="22" t="s">
        <v>500</v>
      </c>
      <c r="C25" s="26" t="s">
        <v>577</v>
      </c>
      <c r="D25" s="26" t="s">
        <v>577</v>
      </c>
      <c r="E25" s="26" t="s">
        <v>577</v>
      </c>
      <c r="F25" s="27" t="s">
        <v>576</v>
      </c>
      <c r="G25" s="26" t="s">
        <v>577</v>
      </c>
      <c r="H25" s="382">
        <v>0</v>
      </c>
      <c r="I25" s="359" t="e">
        <f>#REF!-E25</f>
        <v>#REF!</v>
      </c>
      <c r="J25" s="359" t="e">
        <f t="shared" si="2"/>
        <v>#REF!</v>
      </c>
    </row>
    <row r="26" spans="1:10" ht="16.5" x14ac:dyDescent="0.25">
      <c r="A26" s="21">
        <v>24</v>
      </c>
      <c r="B26" s="22" t="s">
        <v>501</v>
      </c>
      <c r="C26" s="26">
        <v>55699904</v>
      </c>
      <c r="D26" s="26">
        <v>9234560</v>
      </c>
      <c r="E26" s="26">
        <f t="shared" si="0"/>
        <v>64934464</v>
      </c>
      <c r="F26" s="27" t="s">
        <v>575</v>
      </c>
      <c r="G26" s="381">
        <f t="shared" si="1"/>
        <v>64934464</v>
      </c>
      <c r="H26" s="382">
        <f>68.5*ABS(1-2-(($G$1-G26)/$G$1))</f>
        <v>67.892458922962916</v>
      </c>
      <c r="I26" s="359" t="e">
        <f>#REF!-E26</f>
        <v>#REF!</v>
      </c>
      <c r="J26" s="359" t="e">
        <f t="shared" si="2"/>
        <v>#REF!</v>
      </c>
    </row>
    <row r="27" spans="1:10" ht="16.5" hidden="1" x14ac:dyDescent="0.25">
      <c r="A27" s="21">
        <v>25</v>
      </c>
      <c r="B27" s="22" t="s">
        <v>502</v>
      </c>
      <c r="C27" s="26" t="s">
        <v>577</v>
      </c>
      <c r="D27" s="26" t="s">
        <v>577</v>
      </c>
      <c r="E27" s="26" t="s">
        <v>577</v>
      </c>
      <c r="F27" s="27" t="s">
        <v>576</v>
      </c>
      <c r="G27" s="26" t="s">
        <v>577</v>
      </c>
      <c r="H27" s="382">
        <v>0</v>
      </c>
      <c r="I27" s="359" t="e">
        <f>#REF!-E27</f>
        <v>#REF!</v>
      </c>
      <c r="J27" s="359" t="e">
        <f t="shared" si="2"/>
        <v>#REF!</v>
      </c>
    </row>
    <row r="28" spans="1:10" ht="16.5" hidden="1" x14ac:dyDescent="0.25">
      <c r="A28" s="21">
        <v>26</v>
      </c>
      <c r="B28" s="22" t="s">
        <v>503</v>
      </c>
      <c r="C28" s="61" t="s">
        <v>577</v>
      </c>
      <c r="D28" s="61" t="s">
        <v>577</v>
      </c>
      <c r="E28" s="26" t="s">
        <v>577</v>
      </c>
      <c r="F28" s="27" t="s">
        <v>576</v>
      </c>
      <c r="G28" s="26" t="s">
        <v>577</v>
      </c>
      <c r="H28" s="382">
        <v>0</v>
      </c>
      <c r="I28" s="359" t="e">
        <f>#REF!-E28</f>
        <v>#REF!</v>
      </c>
      <c r="J28" s="359" t="e">
        <f t="shared" si="2"/>
        <v>#REF!</v>
      </c>
    </row>
    <row r="29" spans="1:10" ht="16.5" hidden="1" x14ac:dyDescent="0.25">
      <c r="A29" s="21">
        <v>27</v>
      </c>
      <c r="B29" s="22" t="s">
        <v>504</v>
      </c>
      <c r="C29" s="26" t="s">
        <v>577</v>
      </c>
      <c r="D29" s="26" t="s">
        <v>577</v>
      </c>
      <c r="E29" s="26" t="s">
        <v>577</v>
      </c>
      <c r="F29" s="27" t="s">
        <v>576</v>
      </c>
      <c r="G29" s="26" t="s">
        <v>577</v>
      </c>
      <c r="H29" s="382">
        <v>0</v>
      </c>
      <c r="I29" s="359" t="e">
        <f>#REF!-E29</f>
        <v>#REF!</v>
      </c>
      <c r="J29" s="359" t="e">
        <f t="shared" si="2"/>
        <v>#REF!</v>
      </c>
    </row>
    <row r="30" spans="1:10" ht="16.5" hidden="1" x14ac:dyDescent="0.25">
      <c r="A30" s="21">
        <v>28</v>
      </c>
      <c r="B30" s="22" t="s">
        <v>505</v>
      </c>
      <c r="C30" s="26" t="s">
        <v>577</v>
      </c>
      <c r="D30" s="61" t="s">
        <v>577</v>
      </c>
      <c r="E30" s="26" t="s">
        <v>577</v>
      </c>
      <c r="F30" s="27" t="s">
        <v>576</v>
      </c>
      <c r="G30" s="26" t="s">
        <v>577</v>
      </c>
      <c r="H30" s="382">
        <v>0</v>
      </c>
      <c r="I30" s="359"/>
      <c r="J30" s="359">
        <f t="shared" si="2"/>
        <v>0</v>
      </c>
    </row>
    <row r="31" spans="1:10" ht="16.5" x14ac:dyDescent="0.25">
      <c r="A31" s="21">
        <v>29</v>
      </c>
      <c r="B31" s="22" t="s">
        <v>506</v>
      </c>
      <c r="C31" s="26">
        <v>55453929</v>
      </c>
      <c r="D31" s="26">
        <v>9640000</v>
      </c>
      <c r="E31" s="26">
        <f t="shared" si="0"/>
        <v>65093929</v>
      </c>
      <c r="F31" s="27" t="s">
        <v>575</v>
      </c>
      <c r="G31" s="381">
        <f t="shared" si="1"/>
        <v>65093929</v>
      </c>
      <c r="H31" s="382">
        <f>68.5*ABS(1-2-(($G$1-G31)/$G$1))</f>
        <v>67.722745748186426</v>
      </c>
      <c r="I31" s="359" t="e">
        <f>#REF!-E31</f>
        <v>#REF!</v>
      </c>
      <c r="J31" s="359" t="e">
        <f t="shared" si="2"/>
        <v>#REF!</v>
      </c>
    </row>
    <row r="32" spans="1:10" ht="16.5" hidden="1" x14ac:dyDescent="0.25">
      <c r="A32" s="21">
        <v>30</v>
      </c>
      <c r="B32" s="22" t="s">
        <v>421</v>
      </c>
      <c r="C32" s="26" t="s">
        <v>577</v>
      </c>
      <c r="D32" s="26" t="s">
        <v>577</v>
      </c>
      <c r="E32" s="26" t="s">
        <v>577</v>
      </c>
      <c r="F32" s="27" t="s">
        <v>576</v>
      </c>
      <c r="G32" s="26" t="s">
        <v>577</v>
      </c>
      <c r="H32" s="382">
        <v>0</v>
      </c>
      <c r="I32" s="359"/>
      <c r="J32" s="359">
        <f t="shared" si="2"/>
        <v>0</v>
      </c>
    </row>
    <row r="33" spans="1:10" ht="16.5" x14ac:dyDescent="0.25">
      <c r="A33" s="21">
        <v>31</v>
      </c>
      <c r="B33" s="22" t="s">
        <v>507</v>
      </c>
      <c r="C33" s="26">
        <v>57138845</v>
      </c>
      <c r="D33" s="26">
        <v>9600000</v>
      </c>
      <c r="E33" s="26">
        <f t="shared" si="0"/>
        <v>66738845</v>
      </c>
      <c r="F33" s="27" t="s">
        <v>575</v>
      </c>
      <c r="G33" s="381">
        <f t="shared" si="1"/>
        <v>66738845</v>
      </c>
      <c r="H33" s="382">
        <f>68.5*ABS(1-2-(($G$1-G33)/$G$1))</f>
        <v>65.972117606583907</v>
      </c>
      <c r="I33" s="359" t="e">
        <f>#REF!-E33</f>
        <v>#REF!</v>
      </c>
      <c r="J33" s="359" t="e">
        <f t="shared" si="2"/>
        <v>#REF!</v>
      </c>
    </row>
    <row r="34" spans="1:10" ht="16.5" x14ac:dyDescent="0.25">
      <c r="A34" s="21">
        <v>32</v>
      </c>
      <c r="B34" s="22" t="s">
        <v>508</v>
      </c>
      <c r="C34" s="26">
        <v>55813357</v>
      </c>
      <c r="D34" s="61">
        <v>9423336.1199999992</v>
      </c>
      <c r="E34" s="26">
        <f t="shared" si="0"/>
        <v>65236693.119999997</v>
      </c>
      <c r="F34" s="27" t="s">
        <v>575</v>
      </c>
      <c r="G34" s="381">
        <f t="shared" si="1"/>
        <v>65236693</v>
      </c>
      <c r="H34" s="382">
        <f>68.5*ABS(1-2-(($G$1-G34)/$G$1))</f>
        <v>67.570806879570796</v>
      </c>
      <c r="I34" s="359" t="e">
        <f>#REF!-E34</f>
        <v>#REF!</v>
      </c>
      <c r="J34" s="359" t="e">
        <f t="shared" si="2"/>
        <v>#REF!</v>
      </c>
    </row>
    <row r="35" spans="1:10" ht="16.5" hidden="1" x14ac:dyDescent="0.25">
      <c r="A35" s="21">
        <v>33</v>
      </c>
      <c r="B35" s="22" t="s">
        <v>509</v>
      </c>
      <c r="C35" s="26" t="s">
        <v>577</v>
      </c>
      <c r="D35" s="26" t="s">
        <v>577</v>
      </c>
      <c r="E35" s="26" t="s">
        <v>577</v>
      </c>
      <c r="F35" s="27" t="s">
        <v>576</v>
      </c>
      <c r="G35" s="26" t="s">
        <v>577</v>
      </c>
      <c r="H35" s="382">
        <v>0</v>
      </c>
      <c r="I35" s="359" t="e">
        <f>#REF!-E35</f>
        <v>#REF!</v>
      </c>
      <c r="J35" s="359" t="e">
        <f t="shared" si="2"/>
        <v>#REF!</v>
      </c>
    </row>
    <row r="36" spans="1:10" ht="16.5" x14ac:dyDescent="0.25">
      <c r="A36" s="21">
        <v>34</v>
      </c>
      <c r="B36" s="22" t="s">
        <v>510</v>
      </c>
      <c r="C36" s="26">
        <v>56127617</v>
      </c>
      <c r="D36" s="26">
        <v>9476395</v>
      </c>
      <c r="E36" s="26">
        <f t="shared" si="0"/>
        <v>65604012</v>
      </c>
      <c r="F36" s="24" t="s">
        <v>575</v>
      </c>
      <c r="G36" s="381">
        <f t="shared" si="1"/>
        <v>65604012</v>
      </c>
      <c r="H36" s="382">
        <f>68.5*ABS(1-2-(($G$1-G36)/$G$1))</f>
        <v>67.179881763427915</v>
      </c>
      <c r="I36" s="359" t="e">
        <f>#REF!-E36</f>
        <v>#REF!</v>
      </c>
      <c r="J36" s="359" t="e">
        <f t="shared" si="2"/>
        <v>#REF!</v>
      </c>
    </row>
    <row r="37" spans="1:10" ht="16.5" x14ac:dyDescent="0.25">
      <c r="A37" s="21">
        <v>35</v>
      </c>
      <c r="B37" s="22" t="s">
        <v>439</v>
      </c>
      <c r="C37" s="26">
        <v>55696671</v>
      </c>
      <c r="D37" s="26">
        <v>9403635</v>
      </c>
      <c r="E37" s="26">
        <f t="shared" si="0"/>
        <v>65100306</v>
      </c>
      <c r="F37" s="27" t="s">
        <v>575</v>
      </c>
      <c r="G37" s="381">
        <f t="shared" si="1"/>
        <v>65100306</v>
      </c>
      <c r="H37" s="382">
        <f>68.5*ABS(1-2-(($G$1-G37)/$G$1))</f>
        <v>67.715958924020939</v>
      </c>
      <c r="I37" s="359" t="e">
        <f>#REF!-E37</f>
        <v>#REF!</v>
      </c>
      <c r="J37" s="359" t="e">
        <f t="shared" si="2"/>
        <v>#REF!</v>
      </c>
    </row>
    <row r="38" spans="1:10" ht="16.5" x14ac:dyDescent="0.25">
      <c r="A38" s="21">
        <v>36</v>
      </c>
      <c r="B38" s="22" t="s">
        <v>511</v>
      </c>
      <c r="C38" s="26">
        <v>55483673</v>
      </c>
      <c r="D38" s="26">
        <v>9367672</v>
      </c>
      <c r="E38" s="26">
        <f t="shared" si="0"/>
        <v>64851345</v>
      </c>
      <c r="F38" s="27" t="s">
        <v>575</v>
      </c>
      <c r="G38" s="381">
        <f t="shared" si="1"/>
        <v>64851345</v>
      </c>
      <c r="H38" s="382">
        <f>68.5*ABS(1-2-(($G$1-G38)/$G$1))</f>
        <v>67.98091964709829</v>
      </c>
      <c r="I38" s="359" t="e">
        <f>#REF!-E38</f>
        <v>#REF!</v>
      </c>
      <c r="J38" s="359" t="e">
        <f t="shared" si="2"/>
        <v>#REF!</v>
      </c>
    </row>
    <row r="39" spans="1:10" ht="16.5" hidden="1" x14ac:dyDescent="0.25">
      <c r="A39" s="21">
        <v>37</v>
      </c>
      <c r="B39" s="22" t="s">
        <v>512</v>
      </c>
      <c r="C39" s="26" t="s">
        <v>577</v>
      </c>
      <c r="D39" s="26" t="s">
        <v>577</v>
      </c>
      <c r="E39" s="26" t="s">
        <v>577</v>
      </c>
      <c r="F39" s="27" t="s">
        <v>576</v>
      </c>
      <c r="G39" s="26" t="s">
        <v>577</v>
      </c>
      <c r="H39" s="382">
        <v>0</v>
      </c>
      <c r="I39" s="359" t="e">
        <f>#REF!-E39</f>
        <v>#REF!</v>
      </c>
      <c r="J39" s="359" t="e">
        <f t="shared" si="2"/>
        <v>#REF!</v>
      </c>
    </row>
    <row r="40" spans="1:10" ht="16.5" x14ac:dyDescent="0.25">
      <c r="A40" s="21">
        <v>38</v>
      </c>
      <c r="B40" s="22" t="s">
        <v>513</v>
      </c>
      <c r="C40" s="26">
        <v>55196258</v>
      </c>
      <c r="D40" s="26">
        <v>9319147</v>
      </c>
      <c r="E40" s="26">
        <f t="shared" ref="E40:E57" si="3">C40+D40</f>
        <v>64515405</v>
      </c>
      <c r="F40" s="27" t="s">
        <v>575</v>
      </c>
      <c r="G40" s="381">
        <f t="shared" si="1"/>
        <v>64515405</v>
      </c>
      <c r="H40" s="382">
        <f>68.5*ABS(1-2-(($G$1-G40)/$G$1))</f>
        <v>68.338449161000483</v>
      </c>
      <c r="I40" s="359" t="e">
        <f>#REF!-E40</f>
        <v>#REF!</v>
      </c>
      <c r="J40" s="359" t="e">
        <f t="shared" si="2"/>
        <v>#REF!</v>
      </c>
    </row>
    <row r="41" spans="1:10" ht="16.5" x14ac:dyDescent="0.25">
      <c r="A41" s="21">
        <v>39</v>
      </c>
      <c r="B41" s="22" t="s">
        <v>514</v>
      </c>
      <c r="C41" s="26">
        <v>55424806</v>
      </c>
      <c r="D41" s="61">
        <v>9357736</v>
      </c>
      <c r="E41" s="26">
        <f t="shared" si="3"/>
        <v>64782542</v>
      </c>
      <c r="F41" s="24" t="s">
        <v>575</v>
      </c>
      <c r="G41" s="381">
        <f t="shared" si="1"/>
        <v>64782542</v>
      </c>
      <c r="H41" s="382">
        <f>68.5*ABS(1-2-(($G$1-G41)/$G$1))</f>
        <v>68.054144339439219</v>
      </c>
      <c r="I41" s="359" t="e">
        <f>#REF!-E41</f>
        <v>#REF!</v>
      </c>
      <c r="J41" s="359" t="e">
        <f t="shared" si="2"/>
        <v>#REF!</v>
      </c>
    </row>
    <row r="42" spans="1:10" ht="16.5" x14ac:dyDescent="0.25">
      <c r="A42" s="21">
        <v>40</v>
      </c>
      <c r="B42" s="22" t="s">
        <v>515</v>
      </c>
      <c r="C42" s="26">
        <v>54622069</v>
      </c>
      <c r="D42" s="26">
        <v>9261264</v>
      </c>
      <c r="E42" s="26">
        <f t="shared" si="3"/>
        <v>63883333</v>
      </c>
      <c r="F42" s="24" t="s">
        <v>575</v>
      </c>
      <c r="G42" s="381">
        <f t="shared" si="1"/>
        <v>63883333</v>
      </c>
      <c r="H42" s="382">
        <f>68.5*(1-(($G$1-G42)/$G$1))</f>
        <v>67.9888581113958</v>
      </c>
      <c r="I42" s="359" t="e">
        <f>#REF!-E42</f>
        <v>#REF!</v>
      </c>
      <c r="J42" s="359" t="e">
        <f t="shared" si="2"/>
        <v>#REF!</v>
      </c>
    </row>
    <row r="43" spans="1:10" ht="16.5" x14ac:dyDescent="0.25">
      <c r="A43" s="21">
        <v>41</v>
      </c>
      <c r="B43" s="22" t="s">
        <v>516</v>
      </c>
      <c r="C43" s="26">
        <v>56162190</v>
      </c>
      <c r="D43" s="26">
        <v>9482232</v>
      </c>
      <c r="E43" s="26">
        <f t="shared" si="3"/>
        <v>65644422</v>
      </c>
      <c r="F43" s="27" t="s">
        <v>575</v>
      </c>
      <c r="G43" s="381">
        <f t="shared" si="1"/>
        <v>65644422</v>
      </c>
      <c r="H43" s="382">
        <f>68.5*ABS(1-2-(($G$1-G43)/$G$1))</f>
        <v>67.136874775106222</v>
      </c>
      <c r="I43" s="359" t="e">
        <f>#REF!-E43</f>
        <v>#REF!</v>
      </c>
      <c r="J43" s="359" t="e">
        <f t="shared" si="2"/>
        <v>#REF!</v>
      </c>
    </row>
    <row r="44" spans="1:10" ht="16.5" hidden="1" x14ac:dyDescent="0.25">
      <c r="A44" s="21">
        <v>42</v>
      </c>
      <c r="B44" s="22" t="s">
        <v>517</v>
      </c>
      <c r="C44" s="26" t="s">
        <v>577</v>
      </c>
      <c r="D44" s="26" t="s">
        <v>577</v>
      </c>
      <c r="E44" s="26" t="s">
        <v>577</v>
      </c>
      <c r="F44" s="24" t="s">
        <v>576</v>
      </c>
      <c r="G44" s="26" t="s">
        <v>577</v>
      </c>
      <c r="H44" s="382">
        <v>0</v>
      </c>
      <c r="I44" s="359" t="e">
        <f>#REF!-E44</f>
        <v>#REF!</v>
      </c>
      <c r="J44" s="359" t="e">
        <f t="shared" si="2"/>
        <v>#REF!</v>
      </c>
    </row>
    <row r="45" spans="1:10" ht="16.5" x14ac:dyDescent="0.25">
      <c r="A45" s="21">
        <v>43</v>
      </c>
      <c r="B45" s="22" t="s">
        <v>518</v>
      </c>
      <c r="C45" s="26">
        <v>56127617</v>
      </c>
      <c r="D45" s="26">
        <v>9640000</v>
      </c>
      <c r="E45" s="26">
        <f t="shared" si="3"/>
        <v>65767617</v>
      </c>
      <c r="F45" s="27" t="s">
        <v>575</v>
      </c>
      <c r="G45" s="381">
        <f t="shared" si="1"/>
        <v>65767617</v>
      </c>
      <c r="H45" s="382">
        <f>68.5*ABS(1-2-(($G$1-G45)/$G$1))</f>
        <v>67.005762527487065</v>
      </c>
      <c r="I45" s="359" t="e">
        <f>#REF!-E45</f>
        <v>#REF!</v>
      </c>
      <c r="J45" s="359" t="e">
        <f t="shared" si="2"/>
        <v>#REF!</v>
      </c>
    </row>
    <row r="46" spans="1:10" ht="16.5" hidden="1" x14ac:dyDescent="0.25">
      <c r="A46" s="21">
        <v>44</v>
      </c>
      <c r="B46" s="22" t="s">
        <v>519</v>
      </c>
      <c r="C46" s="26" t="s">
        <v>577</v>
      </c>
      <c r="D46" s="26" t="s">
        <v>577</v>
      </c>
      <c r="E46" s="26" t="s">
        <v>577</v>
      </c>
      <c r="F46" s="27" t="s">
        <v>576</v>
      </c>
      <c r="G46" s="26" t="s">
        <v>577</v>
      </c>
      <c r="H46" s="382">
        <v>0</v>
      </c>
      <c r="I46" s="359" t="e">
        <f>#REF!-E46</f>
        <v>#REF!</v>
      </c>
      <c r="J46" s="359" t="e">
        <f t="shared" si="2"/>
        <v>#REF!</v>
      </c>
    </row>
    <row r="47" spans="1:10" ht="16.5" hidden="1" x14ac:dyDescent="0.25">
      <c r="A47" s="21">
        <v>45</v>
      </c>
      <c r="B47" s="22" t="s">
        <v>520</v>
      </c>
      <c r="C47" s="26" t="s">
        <v>577</v>
      </c>
      <c r="D47" s="26" t="s">
        <v>577</v>
      </c>
      <c r="E47" s="26" t="s">
        <v>577</v>
      </c>
      <c r="F47" s="27" t="s">
        <v>576</v>
      </c>
      <c r="G47" s="26" t="s">
        <v>577</v>
      </c>
      <c r="H47" s="382">
        <v>0</v>
      </c>
      <c r="I47" s="359" t="e">
        <f>#REF!-E47</f>
        <v>#REF!</v>
      </c>
      <c r="J47" s="359" t="e">
        <f t="shared" si="2"/>
        <v>#REF!</v>
      </c>
    </row>
    <row r="48" spans="1:10" ht="16.5" hidden="1" x14ac:dyDescent="0.25">
      <c r="A48" s="21">
        <v>46</v>
      </c>
      <c r="B48" s="22" t="s">
        <v>521</v>
      </c>
      <c r="C48" s="26" t="s">
        <v>577</v>
      </c>
      <c r="D48" s="26" t="s">
        <v>577</v>
      </c>
      <c r="E48" s="26" t="s">
        <v>577</v>
      </c>
      <c r="F48" s="27" t="s">
        <v>576</v>
      </c>
      <c r="G48" s="26" t="s">
        <v>577</v>
      </c>
      <c r="H48" s="382">
        <v>0</v>
      </c>
      <c r="I48" s="359" t="e">
        <f>#REF!-E48</f>
        <v>#REF!</v>
      </c>
      <c r="J48" s="359" t="e">
        <f t="shared" si="2"/>
        <v>#REF!</v>
      </c>
    </row>
    <row r="49" spans="1:10" ht="16.5" hidden="1" x14ac:dyDescent="0.25">
      <c r="A49" s="21">
        <v>47</v>
      </c>
      <c r="B49" s="22" t="s">
        <v>522</v>
      </c>
      <c r="C49" s="26" t="s">
        <v>577</v>
      </c>
      <c r="D49" s="26" t="s">
        <v>577</v>
      </c>
      <c r="E49" s="26" t="s">
        <v>577</v>
      </c>
      <c r="F49" s="27" t="s">
        <v>576</v>
      </c>
      <c r="G49" s="26" t="s">
        <v>577</v>
      </c>
      <c r="H49" s="382">
        <v>0</v>
      </c>
      <c r="I49" s="359" t="e">
        <f>#REF!-E49</f>
        <v>#REF!</v>
      </c>
      <c r="J49" s="359" t="e">
        <f t="shared" si="2"/>
        <v>#REF!</v>
      </c>
    </row>
    <row r="50" spans="1:10" ht="16.5" hidden="1" x14ac:dyDescent="0.25">
      <c r="A50" s="21">
        <v>48</v>
      </c>
      <c r="B50" s="22" t="s">
        <v>523</v>
      </c>
      <c r="C50" s="26" t="s">
        <v>577</v>
      </c>
      <c r="D50" s="26" t="s">
        <v>577</v>
      </c>
      <c r="E50" s="26" t="s">
        <v>577</v>
      </c>
      <c r="F50" s="27" t="s">
        <v>576</v>
      </c>
      <c r="G50" s="26" t="s">
        <v>577</v>
      </c>
      <c r="H50" s="382">
        <v>0</v>
      </c>
      <c r="I50" s="359" t="e">
        <f>#REF!-E50</f>
        <v>#REF!</v>
      </c>
      <c r="J50" s="359" t="e">
        <f t="shared" si="2"/>
        <v>#REF!</v>
      </c>
    </row>
    <row r="51" spans="1:10" ht="16.5" x14ac:dyDescent="0.25">
      <c r="A51" s="21">
        <v>49</v>
      </c>
      <c r="B51" s="22" t="s">
        <v>524</v>
      </c>
      <c r="C51" s="26">
        <v>55840549</v>
      </c>
      <c r="D51" s="26">
        <v>9502443</v>
      </c>
      <c r="E51" s="26">
        <f t="shared" si="3"/>
        <v>65342992</v>
      </c>
      <c r="F51" s="24" t="s">
        <v>575</v>
      </c>
      <c r="G51" s="381">
        <f t="shared" si="1"/>
        <v>65342992</v>
      </c>
      <c r="H51" s="382">
        <f>68.5*ABS(1-2-(($G$1-G51)/$G$1))</f>
        <v>67.457676469978935</v>
      </c>
      <c r="I51" s="359" t="e">
        <f>#REF!-E51</f>
        <v>#REF!</v>
      </c>
      <c r="J51" s="359" t="e">
        <f t="shared" si="2"/>
        <v>#REF!</v>
      </c>
    </row>
    <row r="52" spans="1:10" ht="16.5" x14ac:dyDescent="0.25">
      <c r="A52" s="21">
        <v>50</v>
      </c>
      <c r="B52" s="22" t="s">
        <v>525</v>
      </c>
      <c r="C52" s="26">
        <v>55527667</v>
      </c>
      <c r="D52" s="26">
        <v>9375100</v>
      </c>
      <c r="E52" s="26">
        <f t="shared" si="3"/>
        <v>64902767</v>
      </c>
      <c r="F52" s="27" t="s">
        <v>575</v>
      </c>
      <c r="G52" s="381">
        <f t="shared" si="1"/>
        <v>64902767</v>
      </c>
      <c r="H52" s="382">
        <f>68.5*ABS(1-2-(($G$1-G52)/$G$1))</f>
        <v>67.926192961785802</v>
      </c>
      <c r="I52" s="359" t="e">
        <f>#REF!-E52</f>
        <v>#REF!</v>
      </c>
      <c r="J52" s="359" t="e">
        <f t="shared" si="2"/>
        <v>#REF!</v>
      </c>
    </row>
    <row r="53" spans="1:10" ht="16.5" x14ac:dyDescent="0.25">
      <c r="A53" s="21">
        <v>51</v>
      </c>
      <c r="B53" s="22" t="s">
        <v>438</v>
      </c>
      <c r="C53" s="26">
        <v>55944775</v>
      </c>
      <c r="D53" s="26">
        <v>9445524.5649999995</v>
      </c>
      <c r="E53" s="26">
        <f t="shared" si="3"/>
        <v>65390299.564999998</v>
      </c>
      <c r="F53" s="24" t="s">
        <v>575</v>
      </c>
      <c r="G53" s="381">
        <f t="shared" si="1"/>
        <v>65390300</v>
      </c>
      <c r="H53" s="382">
        <f>68.5*ABS(1-2-(($G$1-G53)/$G$1))</f>
        <v>67.407328174915278</v>
      </c>
      <c r="I53" s="359" t="e">
        <f>#REF!-E53</f>
        <v>#REF!</v>
      </c>
      <c r="J53" s="359" t="e">
        <f t="shared" si="2"/>
        <v>#REF!</v>
      </c>
    </row>
    <row r="54" spans="1:10" ht="16.5" x14ac:dyDescent="0.25">
      <c r="A54" s="21">
        <v>52</v>
      </c>
      <c r="B54" s="22" t="s">
        <v>526</v>
      </c>
      <c r="C54" s="26">
        <v>54868816</v>
      </c>
      <c r="D54" s="26">
        <v>9647000</v>
      </c>
      <c r="E54" s="26">
        <f t="shared" si="3"/>
        <v>64515816</v>
      </c>
      <c r="F54" s="24" t="s">
        <v>575</v>
      </c>
      <c r="G54" s="381">
        <f t="shared" si="1"/>
        <v>64515816</v>
      </c>
      <c r="H54" s="382">
        <f>68.5*ABS(1-2-(($G$1-G54)/$G$1))</f>
        <v>68.338011747681989</v>
      </c>
      <c r="I54" s="359" t="e">
        <f>#REF!-E54</f>
        <v>#REF!</v>
      </c>
      <c r="J54" s="359" t="e">
        <f t="shared" si="2"/>
        <v>#REF!</v>
      </c>
    </row>
    <row r="55" spans="1:10" ht="16.5" x14ac:dyDescent="0.25">
      <c r="A55" s="21">
        <v>53</v>
      </c>
      <c r="B55" s="22" t="s">
        <v>433</v>
      </c>
      <c r="C55" s="26">
        <v>55921924</v>
      </c>
      <c r="D55" s="26">
        <v>9441666</v>
      </c>
      <c r="E55" s="26">
        <f t="shared" si="3"/>
        <v>65363590</v>
      </c>
      <c r="F55" s="27" t="s">
        <v>575</v>
      </c>
      <c r="G55" s="381">
        <f t="shared" si="1"/>
        <v>65363590</v>
      </c>
      <c r="H55" s="382">
        <f>68.5*ABS(1-2-(($G$1-G55)/$G$1))</f>
        <v>67.435754719287274</v>
      </c>
      <c r="I55" s="359" t="e">
        <f>#REF!-E55</f>
        <v>#REF!</v>
      </c>
      <c r="J55" s="359" t="e">
        <f t="shared" si="2"/>
        <v>#REF!</v>
      </c>
    </row>
    <row r="56" spans="1:10" ht="16.5" x14ac:dyDescent="0.25">
      <c r="A56" s="21">
        <v>54</v>
      </c>
      <c r="B56" s="22" t="s">
        <v>527</v>
      </c>
      <c r="C56" s="26">
        <v>55881357.920579754</v>
      </c>
      <c r="D56" s="26">
        <v>9434816</v>
      </c>
      <c r="E56" s="26">
        <f t="shared" si="3"/>
        <v>65316173.920579754</v>
      </c>
      <c r="F56" s="27" t="s">
        <v>575</v>
      </c>
      <c r="G56" s="381">
        <f t="shared" si="1"/>
        <v>65316174</v>
      </c>
      <c r="H56" s="382">
        <f>68.5*ABS(1-2-(($G$1-G56)/$G$1))</f>
        <v>67.486217955076953</v>
      </c>
      <c r="I56" s="359" t="e">
        <f>#REF!-E56</f>
        <v>#REF!</v>
      </c>
      <c r="J56" s="359" t="e">
        <f t="shared" si="2"/>
        <v>#REF!</v>
      </c>
    </row>
    <row r="57" spans="1:10" ht="16.5" hidden="1" x14ac:dyDescent="0.25">
      <c r="A57" s="21">
        <v>55</v>
      </c>
      <c r="B57" s="22" t="s">
        <v>528</v>
      </c>
      <c r="C57" s="26">
        <v>48139456</v>
      </c>
      <c r="D57" s="26">
        <v>8127723</v>
      </c>
      <c r="E57" s="26">
        <f t="shared" si="3"/>
        <v>56267179</v>
      </c>
      <c r="F57" s="27" t="s">
        <v>578</v>
      </c>
      <c r="G57" s="381">
        <f t="shared" si="1"/>
        <v>56267179</v>
      </c>
      <c r="H57" s="382">
        <v>0</v>
      </c>
      <c r="I57" s="359" t="e">
        <f>#REF!-E57</f>
        <v>#REF!</v>
      </c>
      <c r="J57" s="359" t="e">
        <f t="shared" si="2"/>
        <v>#REF!</v>
      </c>
    </row>
    <row r="58" spans="1:10" ht="16.5" hidden="1" x14ac:dyDescent="0.25">
      <c r="A58" s="21">
        <v>56</v>
      </c>
      <c r="B58" s="22" t="s">
        <v>422</v>
      </c>
      <c r="C58" s="26" t="s">
        <v>577</v>
      </c>
      <c r="D58" s="26" t="s">
        <v>577</v>
      </c>
      <c r="E58" s="26" t="s">
        <v>577</v>
      </c>
      <c r="F58" s="27" t="s">
        <v>576</v>
      </c>
      <c r="G58" s="26" t="s">
        <v>577</v>
      </c>
      <c r="H58" s="382">
        <v>0</v>
      </c>
      <c r="I58" s="359" t="e">
        <f>#REF!-E58</f>
        <v>#REF!</v>
      </c>
      <c r="J58" s="359" t="e">
        <f t="shared" si="2"/>
        <v>#REF!</v>
      </c>
    </row>
    <row r="59" spans="1:10" ht="16.5" hidden="1" x14ac:dyDescent="0.25">
      <c r="A59" s="21">
        <v>57</v>
      </c>
      <c r="B59" s="22" t="s">
        <v>529</v>
      </c>
      <c r="C59" s="26" t="s">
        <v>577</v>
      </c>
      <c r="D59" s="26" t="s">
        <v>577</v>
      </c>
      <c r="E59" s="26" t="s">
        <v>577</v>
      </c>
      <c r="F59" s="24" t="s">
        <v>576</v>
      </c>
      <c r="G59" s="26" t="s">
        <v>577</v>
      </c>
      <c r="H59" s="382">
        <v>0</v>
      </c>
      <c r="I59" s="359" t="e">
        <f>#REF!-E59</f>
        <v>#REF!</v>
      </c>
      <c r="J59" s="359" t="e">
        <f t="shared" si="2"/>
        <v>#REF!</v>
      </c>
    </row>
    <row r="60" spans="1:10" ht="16.5" hidden="1" x14ac:dyDescent="0.25">
      <c r="A60" s="21">
        <v>58</v>
      </c>
      <c r="B60" s="22" t="s">
        <v>530</v>
      </c>
      <c r="C60" s="26" t="s">
        <v>577</v>
      </c>
      <c r="D60" s="26" t="s">
        <v>577</v>
      </c>
      <c r="E60" s="26" t="s">
        <v>577</v>
      </c>
      <c r="F60" s="27" t="s">
        <v>576</v>
      </c>
      <c r="G60" s="26" t="s">
        <v>577</v>
      </c>
      <c r="H60" s="382">
        <v>0</v>
      </c>
      <c r="I60" s="359" t="e">
        <f>#REF!-E60</f>
        <v>#REF!</v>
      </c>
      <c r="J60" s="359" t="e">
        <f t="shared" si="2"/>
        <v>#REF!</v>
      </c>
    </row>
    <row r="61" spans="1:10" ht="16.5" x14ac:dyDescent="0.25">
      <c r="A61" s="21">
        <v>59</v>
      </c>
      <c r="B61" s="22" t="s">
        <v>531</v>
      </c>
      <c r="C61" s="26">
        <v>55933359</v>
      </c>
      <c r="D61" s="26">
        <v>9443595</v>
      </c>
      <c r="E61" s="26">
        <f t="shared" ref="E61:E70" si="4">C61+D61</f>
        <v>65376954</v>
      </c>
      <c r="F61" s="27" t="s">
        <v>575</v>
      </c>
      <c r="G61" s="381">
        <f t="shared" si="1"/>
        <v>65376954</v>
      </c>
      <c r="H61" s="382">
        <f>68.5*ABS(1-2-(($G$1-G61)/$G$1))</f>
        <v>67.421531868707433</v>
      </c>
      <c r="I61" s="359" t="e">
        <f>#REF!-E61</f>
        <v>#REF!</v>
      </c>
      <c r="J61" s="359" t="e">
        <f t="shared" si="2"/>
        <v>#REF!</v>
      </c>
    </row>
    <row r="62" spans="1:10" ht="16.5" hidden="1" x14ac:dyDescent="0.25">
      <c r="A62" s="21">
        <v>60</v>
      </c>
      <c r="B62" s="22" t="s">
        <v>532</v>
      </c>
      <c r="C62" s="26" t="s">
        <v>577</v>
      </c>
      <c r="D62" s="26" t="s">
        <v>577</v>
      </c>
      <c r="E62" s="26" t="s">
        <v>577</v>
      </c>
      <c r="F62" s="27" t="s">
        <v>576</v>
      </c>
      <c r="G62" s="26" t="s">
        <v>577</v>
      </c>
      <c r="H62" s="382">
        <v>0</v>
      </c>
      <c r="I62" s="359" t="e">
        <f>#REF!-E62</f>
        <v>#REF!</v>
      </c>
      <c r="J62" s="359" t="e">
        <f t="shared" si="2"/>
        <v>#REF!</v>
      </c>
    </row>
    <row r="63" spans="1:10" ht="16.5" hidden="1" x14ac:dyDescent="0.25">
      <c r="A63" s="21">
        <v>61</v>
      </c>
      <c r="B63" s="22" t="s">
        <v>533</v>
      </c>
      <c r="C63" s="26" t="s">
        <v>577</v>
      </c>
      <c r="D63" s="26" t="s">
        <v>577</v>
      </c>
      <c r="E63" s="26" t="s">
        <v>577</v>
      </c>
      <c r="F63" s="24" t="s">
        <v>576</v>
      </c>
      <c r="G63" s="26" t="s">
        <v>577</v>
      </c>
      <c r="H63" s="382">
        <v>0</v>
      </c>
      <c r="I63" s="359" t="e">
        <f>#REF!-E63</f>
        <v>#REF!</v>
      </c>
      <c r="J63" s="359" t="e">
        <f t="shared" si="2"/>
        <v>#REF!</v>
      </c>
    </row>
    <row r="64" spans="1:10" ht="16.5" hidden="1" x14ac:dyDescent="0.25">
      <c r="A64" s="21">
        <v>62</v>
      </c>
      <c r="B64" s="22" t="s">
        <v>534</v>
      </c>
      <c r="C64" s="26" t="s">
        <v>577</v>
      </c>
      <c r="D64" s="26" t="s">
        <v>577</v>
      </c>
      <c r="E64" s="26" t="s">
        <v>577</v>
      </c>
      <c r="F64" s="27" t="s">
        <v>576</v>
      </c>
      <c r="G64" s="26" t="s">
        <v>577</v>
      </c>
      <c r="H64" s="382">
        <v>0</v>
      </c>
      <c r="I64" s="359" t="e">
        <f>#REF!-E64</f>
        <v>#REF!</v>
      </c>
      <c r="J64" s="359" t="e">
        <f t="shared" si="2"/>
        <v>#REF!</v>
      </c>
    </row>
    <row r="65" spans="1:10" ht="16.5" hidden="1" x14ac:dyDescent="0.25">
      <c r="A65" s="21">
        <v>63</v>
      </c>
      <c r="B65" s="22" t="s">
        <v>535</v>
      </c>
      <c r="C65" s="26" t="s">
        <v>577</v>
      </c>
      <c r="D65" s="26" t="s">
        <v>577</v>
      </c>
      <c r="E65" s="26" t="s">
        <v>577</v>
      </c>
      <c r="F65" s="27" t="s">
        <v>576</v>
      </c>
      <c r="G65" s="26" t="s">
        <v>577</v>
      </c>
      <c r="H65" s="382">
        <v>0</v>
      </c>
      <c r="I65" s="359"/>
      <c r="J65" s="359">
        <f t="shared" si="2"/>
        <v>0</v>
      </c>
    </row>
    <row r="66" spans="1:10" ht="16.5" x14ac:dyDescent="0.25">
      <c r="A66" s="21">
        <v>64</v>
      </c>
      <c r="B66" s="22" t="s">
        <v>536</v>
      </c>
      <c r="C66" s="26">
        <v>55036271</v>
      </c>
      <c r="D66" s="26">
        <v>9292135</v>
      </c>
      <c r="E66" s="26">
        <f t="shared" si="4"/>
        <v>64328406</v>
      </c>
      <c r="F66" s="27" t="s">
        <v>575</v>
      </c>
      <c r="G66" s="381">
        <f t="shared" si="1"/>
        <v>64328406</v>
      </c>
      <c r="H66" s="382">
        <f>68.5*(1-(($G$1-G66)/$G$1))</f>
        <v>68.462534164682083</v>
      </c>
      <c r="I66" s="359" t="e">
        <f>#REF!-E66</f>
        <v>#REF!</v>
      </c>
      <c r="J66" s="359" t="e">
        <f t="shared" si="2"/>
        <v>#REF!</v>
      </c>
    </row>
    <row r="67" spans="1:10" ht="16.5" x14ac:dyDescent="0.25">
      <c r="A67" s="21">
        <v>65</v>
      </c>
      <c r="B67" s="22" t="s">
        <v>537</v>
      </c>
      <c r="C67" s="26">
        <v>55927641</v>
      </c>
      <c r="D67" s="26">
        <v>9442630</v>
      </c>
      <c r="E67" s="26">
        <f t="shared" si="4"/>
        <v>65370271</v>
      </c>
      <c r="F67" s="27" t="s">
        <v>575</v>
      </c>
      <c r="G67" s="381">
        <f t="shared" si="1"/>
        <v>65370271</v>
      </c>
      <c r="H67" s="382">
        <f>68.5*ABS(1-2-(($G$1-G67)/$G$1))</f>
        <v>67.428644358263341</v>
      </c>
      <c r="I67" s="359" t="e">
        <f>#REF!-E67</f>
        <v>#REF!</v>
      </c>
      <c r="J67" s="359" t="e">
        <f t="shared" si="2"/>
        <v>#REF!</v>
      </c>
    </row>
    <row r="68" spans="1:10" ht="33" x14ac:dyDescent="0.25">
      <c r="A68" s="21">
        <v>66</v>
      </c>
      <c r="B68" s="22" t="s">
        <v>538</v>
      </c>
      <c r="C68" s="26">
        <v>55881929.310450003</v>
      </c>
      <c r="D68" s="26">
        <v>9434912.6999999993</v>
      </c>
      <c r="E68" s="26">
        <f t="shared" si="4"/>
        <v>65316842.010450006</v>
      </c>
      <c r="F68" s="27" t="s">
        <v>575</v>
      </c>
      <c r="G68" s="381">
        <f t="shared" ref="G68:G70" si="5">ROUND(E68,0)</f>
        <v>65316842</v>
      </c>
      <c r="H68" s="382">
        <f>68.5*ABS(1-2-(($G$1-G68)/$G$1))</f>
        <v>67.485507025401162</v>
      </c>
      <c r="I68" s="359" t="e">
        <f>#REF!-E68</f>
        <v>#REF!</v>
      </c>
      <c r="J68" s="359" t="e">
        <f t="shared" ref="J68:J71" si="6">ABS(I68)</f>
        <v>#REF!</v>
      </c>
    </row>
    <row r="69" spans="1:10" ht="16.5" x14ac:dyDescent="0.25">
      <c r="A69" s="21">
        <v>67</v>
      </c>
      <c r="B69" s="22" t="s">
        <v>469</v>
      </c>
      <c r="C69" s="26">
        <v>55253396</v>
      </c>
      <c r="D69" s="26">
        <v>9328794</v>
      </c>
      <c r="E69" s="26">
        <f t="shared" si="4"/>
        <v>64582190</v>
      </c>
      <c r="F69" s="27" t="s">
        <v>575</v>
      </c>
      <c r="G69" s="381">
        <f t="shared" si="5"/>
        <v>64582190</v>
      </c>
      <c r="H69" s="382">
        <f>68.5*ABS(1-2-(($G$1-G69)/$G$1))</f>
        <v>68.267372157410676</v>
      </c>
      <c r="I69" s="359" t="e">
        <f>#REF!-E69</f>
        <v>#REF!</v>
      </c>
      <c r="J69" s="359" t="e">
        <f t="shared" si="6"/>
        <v>#REF!</v>
      </c>
    </row>
    <row r="70" spans="1:10" ht="16.5" x14ac:dyDescent="0.25">
      <c r="A70" s="21">
        <v>68</v>
      </c>
      <c r="B70" s="22" t="s">
        <v>539</v>
      </c>
      <c r="C70" s="26">
        <v>55275548</v>
      </c>
      <c r="D70" s="26">
        <v>9000000</v>
      </c>
      <c r="E70" s="26">
        <f t="shared" si="4"/>
        <v>64275548</v>
      </c>
      <c r="F70" s="27" t="s">
        <v>575</v>
      </c>
      <c r="G70" s="381">
        <f t="shared" si="5"/>
        <v>64275548</v>
      </c>
      <c r="H70" s="382">
        <f>68.5*(1-(($G$1-G70)/$G$1))</f>
        <v>68.406279193419834</v>
      </c>
      <c r="I70" s="359" t="e">
        <f>#REF!-E70</f>
        <v>#REF!</v>
      </c>
      <c r="J70" s="359" t="e">
        <f t="shared" si="6"/>
        <v>#REF!</v>
      </c>
    </row>
    <row r="71" spans="1:10" ht="16.5" hidden="1" x14ac:dyDescent="0.25">
      <c r="A71" s="21">
        <v>69</v>
      </c>
      <c r="B71" s="383" t="s">
        <v>540</v>
      </c>
      <c r="C71" s="26" t="s">
        <v>577</v>
      </c>
      <c r="D71" s="26" t="s">
        <v>577</v>
      </c>
      <c r="E71" s="26" t="s">
        <v>577</v>
      </c>
      <c r="F71" s="24" t="s">
        <v>576</v>
      </c>
      <c r="G71" s="26" t="s">
        <v>577</v>
      </c>
      <c r="H71" s="382">
        <v>0</v>
      </c>
      <c r="I71" s="359" t="e">
        <f>#REF!-E71</f>
        <v>#REF!</v>
      </c>
      <c r="J71" s="359" t="e">
        <f t="shared" si="6"/>
        <v>#REF!</v>
      </c>
    </row>
    <row r="72" spans="1:10" ht="16.5" hidden="1" x14ac:dyDescent="0.25">
      <c r="A72" s="21">
        <v>70</v>
      </c>
      <c r="B72" s="383" t="s">
        <v>541</v>
      </c>
      <c r="C72" s="26" t="s">
        <v>577</v>
      </c>
      <c r="D72" s="26" t="s">
        <v>577</v>
      </c>
      <c r="E72" s="26" t="s">
        <v>577</v>
      </c>
      <c r="F72" s="24" t="s">
        <v>576</v>
      </c>
      <c r="G72" s="26" t="s">
        <v>577</v>
      </c>
      <c r="H72" s="382">
        <v>0</v>
      </c>
    </row>
    <row r="73" spans="1:10" ht="16.5" x14ac:dyDescent="0.25">
      <c r="A73" s="21">
        <v>71</v>
      </c>
      <c r="B73" s="383" t="s">
        <v>542</v>
      </c>
      <c r="C73" s="26">
        <v>55047699</v>
      </c>
      <c r="D73" s="26">
        <v>9294064</v>
      </c>
      <c r="E73" s="26">
        <f t="shared" ref="E73:E97" si="7">C73+D73</f>
        <v>64341763</v>
      </c>
      <c r="F73" s="24" t="s">
        <v>575</v>
      </c>
      <c r="G73" s="381">
        <f t="shared" ref="G73:G97" si="8">ROUND(E73,0)</f>
        <v>64341763</v>
      </c>
      <c r="H73" s="382">
        <f>68.5*(1-(($G$1-G73)/$G$1))</f>
        <v>68.476749565400041</v>
      </c>
    </row>
    <row r="74" spans="1:10" ht="16.5" x14ac:dyDescent="0.25">
      <c r="A74" s="21">
        <v>72</v>
      </c>
      <c r="B74" s="383" t="s">
        <v>543</v>
      </c>
      <c r="C74" s="26">
        <v>39891734</v>
      </c>
      <c r="D74" s="26">
        <v>9000000</v>
      </c>
      <c r="E74" s="26">
        <f t="shared" si="7"/>
        <v>48891734</v>
      </c>
      <c r="F74" s="24" t="s">
        <v>575</v>
      </c>
      <c r="G74" s="381">
        <f t="shared" si="8"/>
        <v>48891734</v>
      </c>
      <c r="H74" s="382">
        <f>68.5*(1-(($G$1-G74)/$G$1))</f>
        <v>52.033809283966221</v>
      </c>
    </row>
    <row r="75" spans="1:10" ht="16.5" x14ac:dyDescent="0.25">
      <c r="A75" s="21">
        <v>73</v>
      </c>
      <c r="B75" s="383" t="s">
        <v>544</v>
      </c>
      <c r="C75" s="26">
        <v>55741921</v>
      </c>
      <c r="D75" s="26">
        <v>9389000</v>
      </c>
      <c r="E75" s="26">
        <f t="shared" si="7"/>
        <v>65130921</v>
      </c>
      <c r="F75" s="24" t="s">
        <v>575</v>
      </c>
      <c r="G75" s="381">
        <f t="shared" si="8"/>
        <v>65130921</v>
      </c>
      <c r="H75" s="382">
        <f>68.5*ABS(1-2-(($G$1-G75)/$G$1))</f>
        <v>67.683376420990285</v>
      </c>
    </row>
    <row r="76" spans="1:10" ht="16.5" x14ac:dyDescent="0.25">
      <c r="A76" s="21">
        <v>74</v>
      </c>
      <c r="B76" s="383" t="s">
        <v>545</v>
      </c>
      <c r="C76" s="26">
        <v>54900800.638849996</v>
      </c>
      <c r="D76" s="26">
        <v>9647150</v>
      </c>
      <c r="E76" s="26">
        <f t="shared" si="7"/>
        <v>64547950.638849996</v>
      </c>
      <c r="F76" s="24" t="s">
        <v>575</v>
      </c>
      <c r="G76" s="381">
        <f t="shared" si="8"/>
        <v>64547951</v>
      </c>
      <c r="H76" s="382">
        <f>68.5*ABS(1-2-(($G$1-G76)/$G$1))</f>
        <v>68.303811560359122</v>
      </c>
    </row>
    <row r="77" spans="1:10" ht="16.5" x14ac:dyDescent="0.25">
      <c r="A77" s="21">
        <v>75</v>
      </c>
      <c r="B77" s="383" t="s">
        <v>546</v>
      </c>
      <c r="C77" s="26">
        <v>55350536.731117502</v>
      </c>
      <c r="D77" s="26">
        <v>9345194.2050000001</v>
      </c>
      <c r="E77" s="26">
        <f t="shared" si="7"/>
        <v>64695730.9361175</v>
      </c>
      <c r="F77" s="24" t="s">
        <v>575</v>
      </c>
      <c r="G77" s="381">
        <f t="shared" si="8"/>
        <v>64695731</v>
      </c>
      <c r="H77" s="382">
        <f>68.5*ABS(1-2-(($G$1-G77)/$G$1))</f>
        <v>68.14653433357914</v>
      </c>
    </row>
    <row r="78" spans="1:10" ht="16.5" hidden="1" x14ac:dyDescent="0.25">
      <c r="A78" s="21">
        <v>76</v>
      </c>
      <c r="B78" s="383" t="s">
        <v>547</v>
      </c>
      <c r="C78" s="26" t="s">
        <v>577</v>
      </c>
      <c r="D78" s="26" t="s">
        <v>577</v>
      </c>
      <c r="E78" s="26" t="s">
        <v>577</v>
      </c>
      <c r="F78" s="24" t="s">
        <v>576</v>
      </c>
      <c r="G78" s="26" t="s">
        <v>577</v>
      </c>
      <c r="H78" s="382">
        <v>0</v>
      </c>
    </row>
    <row r="79" spans="1:10" ht="16.5" hidden="1" x14ac:dyDescent="0.25">
      <c r="A79" s="21">
        <v>77</v>
      </c>
      <c r="B79" s="383" t="s">
        <v>548</v>
      </c>
      <c r="C79" s="26" t="s">
        <v>577</v>
      </c>
      <c r="D79" s="26" t="s">
        <v>577</v>
      </c>
      <c r="E79" s="26" t="s">
        <v>577</v>
      </c>
      <c r="F79" s="24" t="s">
        <v>576</v>
      </c>
      <c r="G79" s="26" t="s">
        <v>577</v>
      </c>
      <c r="H79" s="382">
        <v>0</v>
      </c>
    </row>
    <row r="80" spans="1:10" ht="16.5" x14ac:dyDescent="0.25">
      <c r="A80" s="21">
        <v>78</v>
      </c>
      <c r="B80" s="383" t="s">
        <v>549</v>
      </c>
      <c r="C80" s="26">
        <v>55924794</v>
      </c>
      <c r="D80" s="26">
        <v>9442148</v>
      </c>
      <c r="E80" s="26">
        <f t="shared" si="7"/>
        <v>65366942</v>
      </c>
      <c r="F80" s="24" t="s">
        <v>575</v>
      </c>
      <c r="G80" s="381">
        <f t="shared" si="8"/>
        <v>65366942</v>
      </c>
      <c r="H80" s="382">
        <f>68.5*ABS(1-2-(($G$1-G80)/$G$1))</f>
        <v>67.432187299716517</v>
      </c>
    </row>
    <row r="81" spans="1:8" ht="16.5" hidden="1" x14ac:dyDescent="0.25">
      <c r="A81" s="21">
        <v>79</v>
      </c>
      <c r="B81" s="383" t="s">
        <v>550</v>
      </c>
      <c r="C81" s="26" t="s">
        <v>577</v>
      </c>
      <c r="D81" s="26" t="s">
        <v>577</v>
      </c>
      <c r="E81" s="26" t="s">
        <v>577</v>
      </c>
      <c r="F81" s="24" t="s">
        <v>576</v>
      </c>
      <c r="G81" s="26" t="s">
        <v>577</v>
      </c>
      <c r="H81" s="382">
        <v>0</v>
      </c>
    </row>
    <row r="82" spans="1:8" ht="16.5" x14ac:dyDescent="0.25">
      <c r="A82" s="21">
        <v>80</v>
      </c>
      <c r="B82" s="383" t="s">
        <v>551</v>
      </c>
      <c r="C82" s="26">
        <v>55653374</v>
      </c>
      <c r="D82" s="26">
        <v>9396324</v>
      </c>
      <c r="E82" s="26">
        <f t="shared" si="7"/>
        <v>65049698</v>
      </c>
      <c r="F82" s="24" t="s">
        <v>575</v>
      </c>
      <c r="G82" s="381">
        <f t="shared" si="8"/>
        <v>65049698</v>
      </c>
      <c r="H82" s="382">
        <f>68.5*ABS(1-2-(($G$1-G82)/$G$1))</f>
        <v>67.769819296824295</v>
      </c>
    </row>
    <row r="83" spans="1:8" ht="16.5" hidden="1" x14ac:dyDescent="0.25">
      <c r="A83" s="21">
        <v>81</v>
      </c>
      <c r="B83" s="383" t="s">
        <v>552</v>
      </c>
      <c r="C83" s="26" t="s">
        <v>577</v>
      </c>
      <c r="D83" s="26" t="s">
        <v>577</v>
      </c>
      <c r="E83" s="26" t="s">
        <v>577</v>
      </c>
      <c r="F83" s="24" t="s">
        <v>576</v>
      </c>
      <c r="G83" s="26" t="s">
        <v>577</v>
      </c>
      <c r="H83" s="382">
        <v>0</v>
      </c>
    </row>
    <row r="84" spans="1:8" ht="16.5" x14ac:dyDescent="0.25">
      <c r="A84" s="21">
        <v>82</v>
      </c>
      <c r="B84" s="383" t="s">
        <v>553</v>
      </c>
      <c r="C84" s="26">
        <v>57138845</v>
      </c>
      <c r="D84" s="26">
        <v>9647150</v>
      </c>
      <c r="E84" s="26">
        <f t="shared" si="7"/>
        <v>66785995</v>
      </c>
      <c r="F84" s="24" t="s">
        <v>575</v>
      </c>
      <c r="G84" s="381">
        <f t="shared" si="8"/>
        <v>66785995</v>
      </c>
      <c r="H84" s="382">
        <f>68.5*ABS(1-2-(($G$1-G84)/$G$1))</f>
        <v>65.921937465545369</v>
      </c>
    </row>
    <row r="85" spans="1:8" ht="16.5" x14ac:dyDescent="0.25">
      <c r="A85" s="21">
        <v>83</v>
      </c>
      <c r="B85" s="383" t="s">
        <v>554</v>
      </c>
      <c r="C85" s="26">
        <v>55910498</v>
      </c>
      <c r="D85" s="26">
        <v>9439736</v>
      </c>
      <c r="E85" s="26">
        <f t="shared" si="7"/>
        <v>65350234</v>
      </c>
      <c r="F85" s="24" t="s">
        <v>575</v>
      </c>
      <c r="G85" s="381">
        <f t="shared" si="8"/>
        <v>65350234</v>
      </c>
      <c r="H85" s="382">
        <f>68.5*ABS(1-2-(($G$1-G85)/$G$1))</f>
        <v>67.449969055739246</v>
      </c>
    </row>
    <row r="86" spans="1:8" ht="16.5" x14ac:dyDescent="0.25">
      <c r="A86" s="390">
        <v>84</v>
      </c>
      <c r="B86" s="391" t="s">
        <v>555</v>
      </c>
      <c r="C86" s="392">
        <v>55165722</v>
      </c>
      <c r="D86" s="392">
        <v>9200000</v>
      </c>
      <c r="E86" s="392">
        <f t="shared" si="7"/>
        <v>64365722</v>
      </c>
      <c r="F86" s="393" t="s">
        <v>575</v>
      </c>
      <c r="G86" s="394">
        <f t="shared" si="8"/>
        <v>64365722</v>
      </c>
      <c r="H86" s="395">
        <f>68.5*ABS(1-2-(($G$1-G86)/$G$1))</f>
        <v>68.497751685943697</v>
      </c>
    </row>
    <row r="87" spans="1:8" ht="16.5" hidden="1" x14ac:dyDescent="0.25">
      <c r="A87" s="21">
        <v>85</v>
      </c>
      <c r="B87" s="383" t="s">
        <v>556</v>
      </c>
      <c r="C87" s="26" t="s">
        <v>577</v>
      </c>
      <c r="D87" s="26" t="s">
        <v>577</v>
      </c>
      <c r="E87" s="26" t="s">
        <v>577</v>
      </c>
      <c r="F87" s="24" t="s">
        <v>576</v>
      </c>
      <c r="G87" s="26" t="s">
        <v>577</v>
      </c>
      <c r="H87" s="382">
        <v>0</v>
      </c>
    </row>
    <row r="88" spans="1:8" ht="16.5" x14ac:dyDescent="0.25">
      <c r="A88" s="21">
        <v>86</v>
      </c>
      <c r="B88" s="383" t="s">
        <v>557</v>
      </c>
      <c r="C88" s="26">
        <v>54288487</v>
      </c>
      <c r="D88" s="26">
        <v>9165883</v>
      </c>
      <c r="E88" s="26">
        <f t="shared" si="7"/>
        <v>63454370</v>
      </c>
      <c r="F88" s="24" t="s">
        <v>575</v>
      </c>
      <c r="G88" s="381">
        <f t="shared" si="8"/>
        <v>63454370</v>
      </c>
      <c r="H88" s="382">
        <f>68.5*(1-(($G$1-G88)/$G$1))</f>
        <v>67.532327383075184</v>
      </c>
    </row>
    <row r="89" spans="1:8" ht="16.5" hidden="1" x14ac:dyDescent="0.25">
      <c r="A89" s="21">
        <v>87</v>
      </c>
      <c r="B89" s="383" t="s">
        <v>558</v>
      </c>
      <c r="C89" s="26" t="s">
        <v>577</v>
      </c>
      <c r="D89" s="26" t="s">
        <v>577</v>
      </c>
      <c r="E89" s="26" t="s">
        <v>577</v>
      </c>
      <c r="F89" s="24" t="s">
        <v>576</v>
      </c>
      <c r="G89" s="26" t="s">
        <v>577</v>
      </c>
      <c r="H89" s="382">
        <v>0</v>
      </c>
    </row>
    <row r="90" spans="1:8" ht="16.5" hidden="1" x14ac:dyDescent="0.25">
      <c r="A90" s="21">
        <v>88</v>
      </c>
      <c r="B90" s="383" t="s">
        <v>559</v>
      </c>
      <c r="C90" s="26" t="s">
        <v>577</v>
      </c>
      <c r="D90" s="26" t="s">
        <v>577</v>
      </c>
      <c r="E90" s="26" t="s">
        <v>577</v>
      </c>
      <c r="F90" s="24" t="s">
        <v>576</v>
      </c>
      <c r="G90" s="26" t="s">
        <v>577</v>
      </c>
      <c r="H90" s="382">
        <v>0</v>
      </c>
    </row>
    <row r="91" spans="1:8" ht="16.5" x14ac:dyDescent="0.25">
      <c r="A91" s="21">
        <v>89</v>
      </c>
      <c r="B91" s="383" t="s">
        <v>560</v>
      </c>
      <c r="C91" s="26">
        <v>55630517</v>
      </c>
      <c r="D91" s="26">
        <v>9392465</v>
      </c>
      <c r="E91" s="26">
        <f t="shared" si="7"/>
        <v>65022982</v>
      </c>
      <c r="F91" s="24" t="s">
        <v>575</v>
      </c>
      <c r="G91" s="381">
        <f t="shared" si="8"/>
        <v>65022982</v>
      </c>
      <c r="H91" s="382">
        <f>68.5*ABS(1-2-(($G$1-G91)/$G$1))</f>
        <v>67.798252226792187</v>
      </c>
    </row>
    <row r="92" spans="1:8" ht="16.5" hidden="1" x14ac:dyDescent="0.25">
      <c r="A92" s="21">
        <v>90</v>
      </c>
      <c r="B92" s="383" t="s">
        <v>561</v>
      </c>
      <c r="C92" s="26">
        <v>50612571</v>
      </c>
      <c r="D92" s="26">
        <v>9547150</v>
      </c>
      <c r="E92" s="26">
        <f t="shared" si="7"/>
        <v>60159721</v>
      </c>
      <c r="F92" s="27" t="s">
        <v>578</v>
      </c>
      <c r="G92" s="381">
        <f t="shared" si="8"/>
        <v>60159721</v>
      </c>
      <c r="H92" s="382">
        <v>0</v>
      </c>
    </row>
    <row r="93" spans="1:8" ht="16.5" x14ac:dyDescent="0.25">
      <c r="A93" s="21">
        <v>91</v>
      </c>
      <c r="B93" s="383" t="s">
        <v>562</v>
      </c>
      <c r="C93" s="26">
        <v>55586617</v>
      </c>
      <c r="D93" s="26">
        <v>9454207</v>
      </c>
      <c r="E93" s="26">
        <f t="shared" si="7"/>
        <v>65040824</v>
      </c>
      <c r="F93" s="24" t="s">
        <v>575</v>
      </c>
      <c r="G93" s="381">
        <f t="shared" si="8"/>
        <v>65040824</v>
      </c>
      <c r="H93" s="382">
        <f>68.5*ABS(1-2-(($G$1-G93)/$G$1))</f>
        <v>67.779263593146169</v>
      </c>
    </row>
    <row r="94" spans="1:8" ht="16.5" x14ac:dyDescent="0.25">
      <c r="A94" s="21">
        <v>92</v>
      </c>
      <c r="B94" s="383" t="s">
        <v>563</v>
      </c>
      <c r="C94" s="26">
        <v>54510594</v>
      </c>
      <c r="D94" s="26">
        <v>9203381</v>
      </c>
      <c r="E94" s="26">
        <f t="shared" si="7"/>
        <v>63713975</v>
      </c>
      <c r="F94" s="24" t="s">
        <v>575</v>
      </c>
      <c r="G94" s="381">
        <f t="shared" si="8"/>
        <v>63713975</v>
      </c>
      <c r="H94" s="382">
        <f>68.5*(1-(($G$1-G94)/$G$1))</f>
        <v>67.808616153262065</v>
      </c>
    </row>
    <row r="95" spans="1:8" ht="16.5" hidden="1" x14ac:dyDescent="0.25">
      <c r="A95" s="21">
        <v>93</v>
      </c>
      <c r="B95" s="383" t="s">
        <v>564</v>
      </c>
      <c r="C95" s="26" t="s">
        <v>577</v>
      </c>
      <c r="D95" s="26" t="s">
        <v>577</v>
      </c>
      <c r="E95" s="26" t="s">
        <v>577</v>
      </c>
      <c r="F95" s="24" t="s">
        <v>576</v>
      </c>
      <c r="G95" s="26" t="s">
        <v>577</v>
      </c>
      <c r="H95" s="382">
        <v>0</v>
      </c>
    </row>
    <row r="96" spans="1:8" ht="16.5" x14ac:dyDescent="0.25">
      <c r="A96" s="21">
        <v>94</v>
      </c>
      <c r="B96" s="383" t="s">
        <v>510</v>
      </c>
      <c r="C96" s="26">
        <v>54682012</v>
      </c>
      <c r="D96" s="26">
        <v>9232323</v>
      </c>
      <c r="E96" s="26">
        <f t="shared" si="7"/>
        <v>63914335</v>
      </c>
      <c r="F96" s="24" t="s">
        <v>575</v>
      </c>
      <c r="G96" s="381">
        <f t="shared" si="8"/>
        <v>63914335</v>
      </c>
      <c r="H96" s="382">
        <f>68.5*(1-(($G$1-G96)/$G$1))</f>
        <v>68.021852485361379</v>
      </c>
    </row>
    <row r="97" spans="1:8" ht="16.5" x14ac:dyDescent="0.25">
      <c r="A97" s="21">
        <v>95</v>
      </c>
      <c r="B97" s="383" t="s">
        <v>565</v>
      </c>
      <c r="C97" s="26">
        <v>54036340.029542498</v>
      </c>
      <c r="D97" s="26">
        <v>9123309.754999999</v>
      </c>
      <c r="E97" s="26">
        <f t="shared" si="7"/>
        <v>63159649.784542501</v>
      </c>
      <c r="F97" s="24" t="s">
        <v>575</v>
      </c>
      <c r="G97" s="381">
        <f t="shared" si="8"/>
        <v>63159650</v>
      </c>
      <c r="H97" s="382">
        <f>68.5*(1-(($G$1-G97)/$G$1))</f>
        <v>67.218666912939867</v>
      </c>
    </row>
    <row r="98" spans="1:8" ht="16.5" hidden="1" x14ac:dyDescent="0.25">
      <c r="A98" s="21">
        <v>96</v>
      </c>
      <c r="B98" s="383" t="s">
        <v>566</v>
      </c>
      <c r="C98" s="26" t="s">
        <v>577</v>
      </c>
      <c r="D98" s="26" t="s">
        <v>577</v>
      </c>
      <c r="E98" s="26" t="s">
        <v>577</v>
      </c>
      <c r="F98" s="24" t="s">
        <v>576</v>
      </c>
      <c r="G98" s="26" t="s">
        <v>577</v>
      </c>
      <c r="H98" s="382">
        <v>0</v>
      </c>
    </row>
    <row r="99" spans="1:8" ht="16.5" hidden="1" x14ac:dyDescent="0.25">
      <c r="A99" s="21">
        <v>97</v>
      </c>
      <c r="B99" s="383" t="s">
        <v>567</v>
      </c>
      <c r="C99" s="26" t="s">
        <v>577</v>
      </c>
      <c r="D99" s="26" t="s">
        <v>577</v>
      </c>
      <c r="E99" s="26" t="s">
        <v>577</v>
      </c>
      <c r="F99" s="24" t="s">
        <v>576</v>
      </c>
      <c r="G99" s="26" t="s">
        <v>577</v>
      </c>
      <c r="H99" s="382">
        <v>0</v>
      </c>
    </row>
    <row r="100" spans="1:8" ht="16.5" hidden="1" x14ac:dyDescent="0.25">
      <c r="A100" s="21">
        <v>98</v>
      </c>
      <c r="B100" s="383" t="s">
        <v>568</v>
      </c>
      <c r="C100" s="26" t="s">
        <v>577</v>
      </c>
      <c r="D100" s="26" t="s">
        <v>577</v>
      </c>
      <c r="E100" s="26" t="s">
        <v>577</v>
      </c>
      <c r="F100" s="24" t="s">
        <v>576</v>
      </c>
      <c r="G100" s="26" t="s">
        <v>577</v>
      </c>
      <c r="H100" s="382">
        <v>0</v>
      </c>
    </row>
    <row r="101" spans="1:8" ht="16.5" hidden="1" x14ac:dyDescent="0.25">
      <c r="A101" s="21">
        <v>99</v>
      </c>
      <c r="B101" s="383" t="s">
        <v>453</v>
      </c>
      <c r="C101" s="26" t="s">
        <v>577</v>
      </c>
      <c r="D101" s="26" t="s">
        <v>577</v>
      </c>
      <c r="E101" s="26" t="s">
        <v>577</v>
      </c>
      <c r="F101" s="24" t="s">
        <v>576</v>
      </c>
      <c r="G101" s="26" t="s">
        <v>577</v>
      </c>
      <c r="H101" s="382">
        <v>0</v>
      </c>
    </row>
    <row r="102" spans="1:8" ht="16.5" x14ac:dyDescent="0.25">
      <c r="A102" s="21">
        <v>100</v>
      </c>
      <c r="B102" s="383" t="s">
        <v>569</v>
      </c>
      <c r="C102" s="26">
        <v>52665006</v>
      </c>
      <c r="D102" s="26">
        <v>8891778</v>
      </c>
      <c r="E102" s="26">
        <f t="shared" ref="E102" si="9">C102+D102</f>
        <v>61556784</v>
      </c>
      <c r="F102" s="24" t="s">
        <v>575</v>
      </c>
      <c r="G102" s="381">
        <f t="shared" ref="G102" si="10">ROUND(E102,0)</f>
        <v>61556784</v>
      </c>
      <c r="H102" s="382">
        <f>68.5*(1-(($G$1-G102)/$G$1))</f>
        <v>65.512791155869081</v>
      </c>
    </row>
    <row r="103" spans="1:8" ht="16.5" hidden="1" x14ac:dyDescent="0.25">
      <c r="A103" s="21">
        <v>101</v>
      </c>
      <c r="B103" s="383" t="s">
        <v>429</v>
      </c>
      <c r="C103" s="26" t="s">
        <v>577</v>
      </c>
      <c r="D103" s="26" t="s">
        <v>577</v>
      </c>
      <c r="E103" s="26" t="s">
        <v>577</v>
      </c>
      <c r="F103" s="24" t="s">
        <v>576</v>
      </c>
      <c r="G103" s="26" t="s">
        <v>577</v>
      </c>
      <c r="H103" s="382">
        <v>0</v>
      </c>
    </row>
  </sheetData>
  <autoFilter ref="A2:J103" xr:uid="{954475D7-B44A-1F46-B536-6711F50F3061}">
    <filterColumn colId="5">
      <filters>
        <filter val="CUMPLE"/>
      </filters>
    </filterColumn>
  </autoFilter>
  <sortState xmlns:xlrd2="http://schemas.microsoft.com/office/spreadsheetml/2017/richdata2" ref="B3:H33">
    <sortCondition ref="G3:G33"/>
  </sortState>
  <mergeCells count="2">
    <mergeCell ref="G1:H1"/>
    <mergeCell ref="A1:F1"/>
  </mergeCells>
  <pageMargins left="0.7" right="0.7" top="0.75" bottom="0.75" header="0.3" footer="0.3"/>
  <pageSetup paperSize="14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C544F-1C48-4C80-966D-D361FA1BB8C0}">
  <sheetPr filterMode="1"/>
  <dimension ref="A1:I54"/>
  <sheetViews>
    <sheetView workbookViewId="0">
      <selection activeCell="B54" sqref="B54"/>
    </sheetView>
  </sheetViews>
  <sheetFormatPr baseColWidth="10" defaultRowHeight="15" x14ac:dyDescent="0.25"/>
  <cols>
    <col min="1" max="1" width="4.28515625" customWidth="1"/>
    <col min="2" max="2" width="39.7109375" customWidth="1"/>
    <col min="3" max="3" width="15.42578125" customWidth="1"/>
    <col min="4" max="6" width="14.7109375" customWidth="1"/>
    <col min="7" max="7" width="14" customWidth="1"/>
    <col min="8" max="8" width="32.42578125" customWidth="1"/>
    <col min="9" max="9" width="14" customWidth="1"/>
  </cols>
  <sheetData>
    <row r="1" spans="1:9" ht="66" x14ac:dyDescent="0.25">
      <c r="A1" s="20" t="s">
        <v>139</v>
      </c>
      <c r="B1" s="20" t="s">
        <v>140</v>
      </c>
      <c r="C1" s="25" t="s">
        <v>573</v>
      </c>
      <c r="D1" s="25" t="s">
        <v>574</v>
      </c>
      <c r="E1" s="25" t="s">
        <v>570</v>
      </c>
      <c r="F1" s="25" t="s">
        <v>571</v>
      </c>
      <c r="G1" s="25" t="s">
        <v>142</v>
      </c>
      <c r="H1" s="20" t="s">
        <v>572</v>
      </c>
      <c r="I1" s="25" t="s">
        <v>144</v>
      </c>
    </row>
    <row r="2" spans="1:9" ht="16.5" hidden="1" x14ac:dyDescent="0.25">
      <c r="A2" s="21">
        <v>2</v>
      </c>
      <c r="B2" s="22" t="s">
        <v>482</v>
      </c>
      <c r="C2" s="26">
        <v>54730826</v>
      </c>
      <c r="D2" s="26">
        <v>13108032.827</v>
      </c>
      <c r="E2" s="26">
        <v>9240565</v>
      </c>
      <c r="F2" s="26">
        <v>2213115.3175000004</v>
      </c>
      <c r="G2" s="26">
        <f t="shared" ref="G2:G33" si="0">SUM(C2:F2)</f>
        <v>79292539.144499987</v>
      </c>
      <c r="H2" s="24" t="s">
        <v>575</v>
      </c>
      <c r="I2" s="24">
        <f t="shared" ref="I2:I33" si="1">ROUND(C2+E2,0)</f>
        <v>63971391</v>
      </c>
    </row>
    <row r="3" spans="1:9" ht="16.5" hidden="1" x14ac:dyDescent="0.25">
      <c r="A3" s="21">
        <v>3</v>
      </c>
      <c r="B3" s="22" t="s">
        <v>483</v>
      </c>
      <c r="C3" s="26">
        <v>54110624</v>
      </c>
      <c r="D3" s="26">
        <v>12959494.447999999</v>
      </c>
      <c r="E3" s="26">
        <v>9135851</v>
      </c>
      <c r="F3" s="26">
        <v>2188036.3144999999</v>
      </c>
      <c r="G3" s="26">
        <f t="shared" si="0"/>
        <v>78394005.762500003</v>
      </c>
      <c r="H3" s="24" t="s">
        <v>575</v>
      </c>
      <c r="I3" s="24">
        <f t="shared" si="1"/>
        <v>63246475</v>
      </c>
    </row>
    <row r="4" spans="1:9" ht="49.5" hidden="1" x14ac:dyDescent="0.25">
      <c r="A4" s="21">
        <v>4</v>
      </c>
      <c r="B4" s="22" t="s">
        <v>484</v>
      </c>
      <c r="C4" s="26">
        <v>54941332</v>
      </c>
      <c r="D4" s="26">
        <v>13158449.014</v>
      </c>
      <c r="E4" s="26">
        <v>9276106</v>
      </c>
      <c r="F4" s="26">
        <v>2221627.3870000001</v>
      </c>
      <c r="G4" s="26">
        <f t="shared" si="0"/>
        <v>79597514.400999993</v>
      </c>
      <c r="H4" s="24" t="s">
        <v>575</v>
      </c>
      <c r="I4" s="24">
        <f t="shared" si="1"/>
        <v>64217438</v>
      </c>
    </row>
    <row r="5" spans="1:9" ht="16.5" hidden="1" x14ac:dyDescent="0.25">
      <c r="A5" s="21">
        <v>5</v>
      </c>
      <c r="B5" s="22" t="s">
        <v>425</v>
      </c>
      <c r="C5" s="26">
        <v>55253396</v>
      </c>
      <c r="D5" s="26">
        <v>13233188.342</v>
      </c>
      <c r="E5" s="26">
        <v>8968000</v>
      </c>
      <c r="F5" s="26">
        <v>2147836</v>
      </c>
      <c r="G5" s="26">
        <f t="shared" si="0"/>
        <v>79602420.342000008</v>
      </c>
      <c r="H5" s="24" t="s">
        <v>575</v>
      </c>
      <c r="I5" s="24">
        <f t="shared" si="1"/>
        <v>64221396</v>
      </c>
    </row>
    <row r="6" spans="1:9" ht="16.5" x14ac:dyDescent="0.25">
      <c r="A6" s="21">
        <v>7</v>
      </c>
      <c r="B6" s="388" t="s">
        <v>486</v>
      </c>
      <c r="C6" s="26">
        <v>49702828</v>
      </c>
      <c r="D6" s="26">
        <v>11903827.306000002</v>
      </c>
      <c r="E6" s="26">
        <v>9454207</v>
      </c>
      <c r="F6" s="26">
        <v>2264282.5765000004</v>
      </c>
      <c r="G6" s="26">
        <f t="shared" si="0"/>
        <v>73325144.882499993</v>
      </c>
      <c r="H6" s="24" t="s">
        <v>575</v>
      </c>
      <c r="I6" s="24">
        <f t="shared" si="1"/>
        <v>59157035</v>
      </c>
    </row>
    <row r="7" spans="1:9" ht="16.5" hidden="1" x14ac:dyDescent="0.25">
      <c r="A7" s="21">
        <v>11</v>
      </c>
      <c r="B7" s="22" t="s">
        <v>489</v>
      </c>
      <c r="C7" s="26">
        <v>55139125</v>
      </c>
      <c r="D7" s="26">
        <v>13205820.4375</v>
      </c>
      <c r="E7" s="26">
        <v>9309500</v>
      </c>
      <c r="F7" s="26">
        <v>2229625.25</v>
      </c>
      <c r="G7" s="26">
        <f t="shared" si="0"/>
        <v>79884070.6875</v>
      </c>
      <c r="H7" s="24" t="s">
        <v>575</v>
      </c>
      <c r="I7" s="24">
        <f t="shared" si="1"/>
        <v>64448625</v>
      </c>
    </row>
    <row r="8" spans="1:9" ht="16.5" hidden="1" x14ac:dyDescent="0.25">
      <c r="A8" s="21">
        <v>14</v>
      </c>
      <c r="B8" s="22" t="s">
        <v>269</v>
      </c>
      <c r="C8" s="26">
        <v>56352394</v>
      </c>
      <c r="D8" s="26">
        <v>12932874.423</v>
      </c>
      <c r="E8" s="26">
        <v>9514343</v>
      </c>
      <c r="F8" s="26">
        <v>2183541.7185</v>
      </c>
      <c r="G8" s="26">
        <f t="shared" si="0"/>
        <v>80983153.141500011</v>
      </c>
      <c r="H8" s="24" t="s">
        <v>575</v>
      </c>
      <c r="I8" s="24">
        <f t="shared" si="1"/>
        <v>65866737</v>
      </c>
    </row>
    <row r="9" spans="1:9" ht="16.5" hidden="1" x14ac:dyDescent="0.25">
      <c r="A9" s="21">
        <v>16</v>
      </c>
      <c r="B9" s="22" t="s">
        <v>493</v>
      </c>
      <c r="C9" s="26">
        <v>56373325</v>
      </c>
      <c r="D9" s="26">
        <v>12937678.0875</v>
      </c>
      <c r="E9" s="26">
        <v>9500000</v>
      </c>
      <c r="F9" s="26">
        <v>2180250</v>
      </c>
      <c r="G9" s="26">
        <f t="shared" si="0"/>
        <v>80991253.087500006</v>
      </c>
      <c r="H9" s="24" t="s">
        <v>575</v>
      </c>
      <c r="I9" s="24">
        <f t="shared" si="1"/>
        <v>65873325</v>
      </c>
    </row>
    <row r="10" spans="1:9" ht="16.5" hidden="1" x14ac:dyDescent="0.25">
      <c r="A10" s="21">
        <v>19</v>
      </c>
      <c r="B10" s="62" t="s">
        <v>496</v>
      </c>
      <c r="C10" s="26">
        <v>55310545</v>
      </c>
      <c r="D10" s="26">
        <v>13246875.5275</v>
      </c>
      <c r="E10" s="26">
        <v>9338441</v>
      </c>
      <c r="F10" s="26">
        <v>2236556.6195</v>
      </c>
      <c r="G10" s="26">
        <f t="shared" si="0"/>
        <v>80132418.147</v>
      </c>
      <c r="H10" s="24" t="s">
        <v>575</v>
      </c>
      <c r="I10" s="24">
        <f t="shared" si="1"/>
        <v>64648986</v>
      </c>
    </row>
    <row r="11" spans="1:9" ht="16.5" hidden="1" x14ac:dyDescent="0.25">
      <c r="A11" s="21">
        <v>22</v>
      </c>
      <c r="B11" s="22" t="s">
        <v>499</v>
      </c>
      <c r="C11" s="26">
        <v>54984847.214157507</v>
      </c>
      <c r="D11" s="26">
        <v>13168870.907790722</v>
      </c>
      <c r="E11" s="26">
        <v>9283452.4450000003</v>
      </c>
      <c r="F11" s="26">
        <v>2223386.8605775004</v>
      </c>
      <c r="G11" s="26">
        <f t="shared" si="0"/>
        <v>79660557.427525729</v>
      </c>
      <c r="H11" s="24" t="s">
        <v>575</v>
      </c>
      <c r="I11" s="24">
        <f t="shared" si="1"/>
        <v>64268300</v>
      </c>
    </row>
    <row r="12" spans="1:9" ht="16.5" hidden="1" x14ac:dyDescent="0.25">
      <c r="A12" s="21">
        <v>24</v>
      </c>
      <c r="B12" s="22" t="s">
        <v>501</v>
      </c>
      <c r="C12" s="26">
        <v>55699904</v>
      </c>
      <c r="D12" s="26">
        <v>13340127.007999998</v>
      </c>
      <c r="E12" s="26">
        <v>9234560</v>
      </c>
      <c r="F12" s="26">
        <v>2211677.1199999996</v>
      </c>
      <c r="G12" s="26">
        <f t="shared" si="0"/>
        <v>80486268.128000006</v>
      </c>
      <c r="H12" s="24" t="s">
        <v>575</v>
      </c>
      <c r="I12" s="24">
        <f t="shared" si="1"/>
        <v>64934464</v>
      </c>
    </row>
    <row r="13" spans="1:9" ht="16.5" hidden="1" x14ac:dyDescent="0.25">
      <c r="A13" s="21">
        <v>29</v>
      </c>
      <c r="B13" s="22" t="s">
        <v>506</v>
      </c>
      <c r="C13" s="26">
        <v>55453929</v>
      </c>
      <c r="D13" s="26">
        <v>13281215.995500002</v>
      </c>
      <c r="E13" s="26">
        <v>9640000</v>
      </c>
      <c r="F13" s="26">
        <v>2308780</v>
      </c>
      <c r="G13" s="26">
        <f t="shared" si="0"/>
        <v>80683924.995499998</v>
      </c>
      <c r="H13" s="24" t="s">
        <v>575</v>
      </c>
      <c r="I13" s="24">
        <f t="shared" si="1"/>
        <v>65093929</v>
      </c>
    </row>
    <row r="14" spans="1:9" ht="16.5" hidden="1" x14ac:dyDescent="0.25">
      <c r="A14" s="21">
        <v>31</v>
      </c>
      <c r="B14" s="22" t="s">
        <v>507</v>
      </c>
      <c r="C14" s="26">
        <v>57138845</v>
      </c>
      <c r="D14" s="26">
        <v>9827881.3400000017</v>
      </c>
      <c r="E14" s="26">
        <v>9600000</v>
      </c>
      <c r="F14" s="26">
        <v>1651200</v>
      </c>
      <c r="G14" s="26">
        <f t="shared" si="0"/>
        <v>78217926.340000004</v>
      </c>
      <c r="H14" s="24" t="s">
        <v>575</v>
      </c>
      <c r="I14" s="24">
        <f t="shared" si="1"/>
        <v>66738845</v>
      </c>
    </row>
    <row r="15" spans="1:9" ht="16.5" hidden="1" x14ac:dyDescent="0.25">
      <c r="A15" s="21">
        <v>32</v>
      </c>
      <c r="B15" s="22" t="s">
        <v>508</v>
      </c>
      <c r="C15" s="26">
        <v>55813357</v>
      </c>
      <c r="D15" s="26">
        <v>13367299.001500001</v>
      </c>
      <c r="E15" s="26">
        <v>9423336.1199999992</v>
      </c>
      <c r="F15" s="26">
        <v>2256889.00074</v>
      </c>
      <c r="G15" s="26">
        <f t="shared" si="0"/>
        <v>80860881.122240007</v>
      </c>
      <c r="H15" s="24" t="s">
        <v>575</v>
      </c>
      <c r="I15" s="24">
        <f t="shared" si="1"/>
        <v>65236693</v>
      </c>
    </row>
    <row r="16" spans="1:9" ht="16.5" hidden="1" x14ac:dyDescent="0.25">
      <c r="A16" s="21">
        <v>34</v>
      </c>
      <c r="B16" s="22" t="s">
        <v>510</v>
      </c>
      <c r="C16" s="26">
        <v>56127617</v>
      </c>
      <c r="D16" s="26">
        <v>13442564.271500001</v>
      </c>
      <c r="E16" s="26">
        <v>9476395</v>
      </c>
      <c r="F16" s="26">
        <v>2269596.6024999996</v>
      </c>
      <c r="G16" s="26">
        <f t="shared" si="0"/>
        <v>81316172.874000013</v>
      </c>
      <c r="H16" s="24" t="s">
        <v>575</v>
      </c>
      <c r="I16" s="24">
        <f t="shared" si="1"/>
        <v>65604012</v>
      </c>
    </row>
    <row r="17" spans="1:9" ht="16.5" hidden="1" x14ac:dyDescent="0.25">
      <c r="A17" s="21">
        <v>35</v>
      </c>
      <c r="B17" s="22" t="s">
        <v>439</v>
      </c>
      <c r="C17" s="26">
        <v>55696671</v>
      </c>
      <c r="D17" s="26">
        <v>13339352</v>
      </c>
      <c r="E17" s="26">
        <v>9403635</v>
      </c>
      <c r="F17" s="26">
        <v>2252172</v>
      </c>
      <c r="G17" s="26">
        <f t="shared" si="0"/>
        <v>80691830</v>
      </c>
      <c r="H17" s="24" t="s">
        <v>575</v>
      </c>
      <c r="I17" s="24">
        <f t="shared" si="1"/>
        <v>65100306</v>
      </c>
    </row>
    <row r="18" spans="1:9" ht="16.5" hidden="1" x14ac:dyDescent="0.25">
      <c r="A18" s="21">
        <v>36</v>
      </c>
      <c r="B18" s="22" t="s">
        <v>511</v>
      </c>
      <c r="C18" s="26">
        <v>55483673</v>
      </c>
      <c r="D18" s="26">
        <v>13288340</v>
      </c>
      <c r="E18" s="26">
        <v>9367672</v>
      </c>
      <c r="F18" s="26">
        <v>2243558</v>
      </c>
      <c r="G18" s="26">
        <f t="shared" si="0"/>
        <v>80383243</v>
      </c>
      <c r="H18" s="24" t="s">
        <v>575</v>
      </c>
      <c r="I18" s="24">
        <f t="shared" si="1"/>
        <v>64851345</v>
      </c>
    </row>
    <row r="19" spans="1:9" ht="16.5" hidden="1" x14ac:dyDescent="0.25">
      <c r="A19" s="21">
        <v>38</v>
      </c>
      <c r="B19" s="22" t="s">
        <v>513</v>
      </c>
      <c r="C19" s="26">
        <v>55196258</v>
      </c>
      <c r="D19" s="26">
        <v>13219503.790999999</v>
      </c>
      <c r="E19" s="26">
        <v>9319147</v>
      </c>
      <c r="F19" s="26">
        <v>2231935.7064999999</v>
      </c>
      <c r="G19" s="26">
        <f t="shared" si="0"/>
        <v>79966844.497499987</v>
      </c>
      <c r="H19" s="24" t="s">
        <v>575</v>
      </c>
      <c r="I19" s="24">
        <f t="shared" si="1"/>
        <v>64515405</v>
      </c>
    </row>
    <row r="20" spans="1:9" ht="16.5" hidden="1" x14ac:dyDescent="0.25">
      <c r="A20" s="21">
        <v>39</v>
      </c>
      <c r="B20" s="22" t="s">
        <v>514</v>
      </c>
      <c r="C20" s="26">
        <v>55424806</v>
      </c>
      <c r="D20" s="26">
        <v>13274241.037000002</v>
      </c>
      <c r="E20" s="26">
        <v>9357736</v>
      </c>
      <c r="F20" s="26">
        <v>2241177.7720000003</v>
      </c>
      <c r="G20" s="26">
        <f t="shared" si="0"/>
        <v>80297960.809</v>
      </c>
      <c r="H20" s="24" t="s">
        <v>575</v>
      </c>
      <c r="I20" s="24">
        <f t="shared" si="1"/>
        <v>64782542</v>
      </c>
    </row>
    <row r="21" spans="1:9" ht="16.5" hidden="1" x14ac:dyDescent="0.25">
      <c r="A21" s="21">
        <v>40</v>
      </c>
      <c r="B21" s="22" t="s">
        <v>515</v>
      </c>
      <c r="C21" s="26">
        <v>54622069</v>
      </c>
      <c r="D21" s="26">
        <v>13081985.529999999</v>
      </c>
      <c r="E21" s="26">
        <v>9261264</v>
      </c>
      <c r="F21" s="26">
        <v>2218073</v>
      </c>
      <c r="G21" s="26">
        <f t="shared" si="0"/>
        <v>79183391.530000001</v>
      </c>
      <c r="H21" s="24" t="s">
        <v>575</v>
      </c>
      <c r="I21" s="24">
        <f t="shared" si="1"/>
        <v>63883333</v>
      </c>
    </row>
    <row r="22" spans="1:9" ht="16.5" hidden="1" x14ac:dyDescent="0.25">
      <c r="A22" s="21">
        <v>41</v>
      </c>
      <c r="B22" s="22" t="s">
        <v>516</v>
      </c>
      <c r="C22" s="26">
        <v>56162190</v>
      </c>
      <c r="D22" s="26">
        <v>13344136</v>
      </c>
      <c r="E22" s="26">
        <v>9482232</v>
      </c>
      <c r="F22" s="26">
        <v>2252978.3232000005</v>
      </c>
      <c r="G22" s="26">
        <f t="shared" si="0"/>
        <v>81241536.323200002</v>
      </c>
      <c r="H22" s="24" t="s">
        <v>575</v>
      </c>
      <c r="I22" s="24">
        <f t="shared" si="1"/>
        <v>65644422</v>
      </c>
    </row>
    <row r="23" spans="1:9" ht="16.5" hidden="1" x14ac:dyDescent="0.25">
      <c r="A23" s="21">
        <v>43</v>
      </c>
      <c r="B23" s="22" t="s">
        <v>518</v>
      </c>
      <c r="C23" s="26">
        <v>56127617</v>
      </c>
      <c r="D23" s="26">
        <v>13229279</v>
      </c>
      <c r="E23" s="26">
        <v>9640000</v>
      </c>
      <c r="F23" s="26">
        <v>2272148</v>
      </c>
      <c r="G23" s="26">
        <f t="shared" si="0"/>
        <v>81269044</v>
      </c>
      <c r="H23" s="24" t="s">
        <v>575</v>
      </c>
      <c r="I23" s="24">
        <f t="shared" si="1"/>
        <v>65767617</v>
      </c>
    </row>
    <row r="24" spans="1:9" ht="16.5" hidden="1" x14ac:dyDescent="0.25">
      <c r="A24" s="21">
        <v>49</v>
      </c>
      <c r="B24" s="22" t="s">
        <v>524</v>
      </c>
      <c r="C24" s="26">
        <v>55840549</v>
      </c>
      <c r="D24" s="26">
        <v>13373811.4855</v>
      </c>
      <c r="E24" s="26">
        <v>9502443</v>
      </c>
      <c r="F24" s="26">
        <v>2275835.0985000003</v>
      </c>
      <c r="G24" s="26">
        <f t="shared" si="0"/>
        <v>80992638.584000006</v>
      </c>
      <c r="H24" s="24" t="s">
        <v>575</v>
      </c>
      <c r="I24" s="24">
        <f t="shared" si="1"/>
        <v>65342992</v>
      </c>
    </row>
    <row r="25" spans="1:9" ht="16.5" hidden="1" x14ac:dyDescent="0.25">
      <c r="A25" s="21">
        <v>50</v>
      </c>
      <c r="B25" s="22" t="s">
        <v>525</v>
      </c>
      <c r="C25" s="26">
        <v>55527667</v>
      </c>
      <c r="D25" s="26">
        <v>13298876</v>
      </c>
      <c r="E25" s="26">
        <v>9375100</v>
      </c>
      <c r="F25" s="26">
        <v>2245336</v>
      </c>
      <c r="G25" s="26">
        <f t="shared" si="0"/>
        <v>80446979</v>
      </c>
      <c r="H25" s="24" t="s">
        <v>575</v>
      </c>
      <c r="I25" s="24">
        <f t="shared" si="1"/>
        <v>64902767</v>
      </c>
    </row>
    <row r="26" spans="1:9" ht="16.5" hidden="1" x14ac:dyDescent="0.25">
      <c r="A26" s="21">
        <v>51</v>
      </c>
      <c r="B26" s="22" t="s">
        <v>438</v>
      </c>
      <c r="C26" s="26">
        <v>55944775</v>
      </c>
      <c r="D26" s="26">
        <v>13398773.612500001</v>
      </c>
      <c r="E26" s="26">
        <v>9445524.5649999995</v>
      </c>
      <c r="F26" s="26">
        <v>2262203.1333174999</v>
      </c>
      <c r="G26" s="26">
        <f t="shared" si="0"/>
        <v>81051276.310817495</v>
      </c>
      <c r="H26" s="24" t="s">
        <v>575</v>
      </c>
      <c r="I26" s="24">
        <f t="shared" si="1"/>
        <v>65390300</v>
      </c>
    </row>
    <row r="27" spans="1:9" ht="16.5" hidden="1" x14ac:dyDescent="0.25">
      <c r="A27" s="21">
        <v>52</v>
      </c>
      <c r="B27" s="22" t="s">
        <v>526</v>
      </c>
      <c r="C27" s="26">
        <v>54868816</v>
      </c>
      <c r="D27" s="26">
        <v>13141081.432000002</v>
      </c>
      <c r="E27" s="26">
        <v>9647000</v>
      </c>
      <c r="F27" s="26">
        <v>2310456.5</v>
      </c>
      <c r="G27" s="26">
        <f t="shared" si="0"/>
        <v>79967353.931999996</v>
      </c>
      <c r="H27" s="24" t="s">
        <v>575</v>
      </c>
      <c r="I27" s="24">
        <f t="shared" si="1"/>
        <v>64515816</v>
      </c>
    </row>
    <row r="28" spans="1:9" ht="16.5" hidden="1" x14ac:dyDescent="0.25">
      <c r="A28" s="21">
        <v>53</v>
      </c>
      <c r="B28" s="22" t="s">
        <v>433</v>
      </c>
      <c r="C28" s="26">
        <v>55921924</v>
      </c>
      <c r="D28" s="26">
        <v>13393300.798</v>
      </c>
      <c r="E28" s="26">
        <v>9441666</v>
      </c>
      <c r="F28" s="26">
        <v>2261279.0070000002</v>
      </c>
      <c r="G28" s="26">
        <f t="shared" si="0"/>
        <v>81018169.805000007</v>
      </c>
      <c r="H28" s="24" t="s">
        <v>575</v>
      </c>
      <c r="I28" s="24">
        <f t="shared" si="1"/>
        <v>65363590</v>
      </c>
    </row>
    <row r="29" spans="1:9" ht="16.5" hidden="1" x14ac:dyDescent="0.25">
      <c r="A29" s="21">
        <v>54</v>
      </c>
      <c r="B29" s="22" t="s">
        <v>527</v>
      </c>
      <c r="C29" s="26">
        <v>55881357.920579754</v>
      </c>
      <c r="D29" s="26">
        <v>13383585.221978851</v>
      </c>
      <c r="E29" s="26">
        <v>9434816</v>
      </c>
      <c r="F29" s="26">
        <v>2259638.4319999996</v>
      </c>
      <c r="G29" s="26">
        <f t="shared" si="0"/>
        <v>80959397.574558601</v>
      </c>
      <c r="H29" s="24" t="s">
        <v>575</v>
      </c>
      <c r="I29" s="24">
        <f t="shared" si="1"/>
        <v>65316174</v>
      </c>
    </row>
    <row r="30" spans="1:9" ht="16.5" x14ac:dyDescent="0.25">
      <c r="A30" s="21">
        <v>55</v>
      </c>
      <c r="B30" s="385" t="s">
        <v>528</v>
      </c>
      <c r="C30" s="26">
        <v>48139456</v>
      </c>
      <c r="D30" s="26">
        <v>8944310.9247999992</v>
      </c>
      <c r="E30" s="26">
        <v>8127723</v>
      </c>
      <c r="F30" s="26">
        <v>1510130.9334</v>
      </c>
      <c r="G30" s="26">
        <f t="shared" si="0"/>
        <v>66721620.858199999</v>
      </c>
      <c r="H30" s="24" t="s">
        <v>575</v>
      </c>
      <c r="I30" s="24">
        <f t="shared" si="1"/>
        <v>56267179</v>
      </c>
    </row>
    <row r="31" spans="1:9" ht="16.5" hidden="1" x14ac:dyDescent="0.25">
      <c r="A31" s="21">
        <v>59</v>
      </c>
      <c r="B31" s="22" t="s">
        <v>531</v>
      </c>
      <c r="C31" s="26">
        <v>55933359</v>
      </c>
      <c r="D31" s="26">
        <v>13396039.4805</v>
      </c>
      <c r="E31" s="26">
        <v>9443595</v>
      </c>
      <c r="F31" s="26">
        <v>2261741.0024999995</v>
      </c>
      <c r="G31" s="26">
        <f t="shared" si="0"/>
        <v>81034734.482999995</v>
      </c>
      <c r="H31" s="24" t="s">
        <v>575</v>
      </c>
      <c r="I31" s="24">
        <f t="shared" si="1"/>
        <v>65376954</v>
      </c>
    </row>
    <row r="32" spans="1:9" ht="16.5" hidden="1" x14ac:dyDescent="0.25">
      <c r="A32" s="21">
        <v>64</v>
      </c>
      <c r="B32" s="22" t="s">
        <v>536</v>
      </c>
      <c r="C32" s="26">
        <v>55036271</v>
      </c>
      <c r="D32" s="26">
        <v>13181186.9045</v>
      </c>
      <c r="E32" s="26">
        <v>9292135</v>
      </c>
      <c r="F32" s="26">
        <v>2225466.3325</v>
      </c>
      <c r="G32" s="26">
        <f t="shared" si="0"/>
        <v>79735059.237000003</v>
      </c>
      <c r="H32" s="24" t="s">
        <v>575</v>
      </c>
      <c r="I32" s="24">
        <f t="shared" si="1"/>
        <v>64328406</v>
      </c>
    </row>
    <row r="33" spans="1:9" ht="16.5" hidden="1" x14ac:dyDescent="0.25">
      <c r="A33" s="21">
        <v>65</v>
      </c>
      <c r="B33" s="22" t="s">
        <v>537</v>
      </c>
      <c r="C33" s="26">
        <v>55927641</v>
      </c>
      <c r="D33" s="26">
        <v>13394670.019500002</v>
      </c>
      <c r="E33" s="26">
        <v>9442630</v>
      </c>
      <c r="F33" s="26">
        <v>2261509.8850000002</v>
      </c>
      <c r="G33" s="26">
        <f t="shared" si="0"/>
        <v>81026450.904500008</v>
      </c>
      <c r="H33" s="24" t="s">
        <v>575</v>
      </c>
      <c r="I33" s="24">
        <f t="shared" si="1"/>
        <v>65370271</v>
      </c>
    </row>
    <row r="34" spans="1:9" ht="33" hidden="1" x14ac:dyDescent="0.25">
      <c r="A34" s="21">
        <v>66</v>
      </c>
      <c r="B34" s="22" t="s">
        <v>538</v>
      </c>
      <c r="C34" s="26">
        <v>55881929.310450003</v>
      </c>
      <c r="D34" s="26">
        <v>13383722.069852775</v>
      </c>
      <c r="E34" s="26">
        <v>9434912.6999999993</v>
      </c>
      <c r="F34" s="26">
        <v>2259661.5916500003</v>
      </c>
      <c r="G34" s="26">
        <f t="shared" ref="G34:G54" si="2">SUM(C34:F34)</f>
        <v>80960225.671952769</v>
      </c>
      <c r="H34" s="24" t="s">
        <v>575</v>
      </c>
      <c r="I34" s="24">
        <f t="shared" ref="I34:I54" si="3">ROUND(C34+E34,0)</f>
        <v>65316842</v>
      </c>
    </row>
    <row r="35" spans="1:9" ht="16.5" hidden="1" x14ac:dyDescent="0.25">
      <c r="A35" s="21">
        <v>67</v>
      </c>
      <c r="B35" s="22" t="s">
        <v>469</v>
      </c>
      <c r="C35" s="26">
        <v>55253396</v>
      </c>
      <c r="D35" s="26">
        <v>13238494</v>
      </c>
      <c r="E35" s="26">
        <v>9328794</v>
      </c>
      <c r="F35" s="26">
        <v>2234246.1630000002</v>
      </c>
      <c r="G35" s="26">
        <f t="shared" si="2"/>
        <v>80054930.163000003</v>
      </c>
      <c r="H35" s="24" t="s">
        <v>575</v>
      </c>
      <c r="I35" s="24">
        <f t="shared" si="3"/>
        <v>64582190</v>
      </c>
    </row>
    <row r="36" spans="1:9" ht="16.5" hidden="1" x14ac:dyDescent="0.25">
      <c r="A36" s="21">
        <v>68</v>
      </c>
      <c r="B36" s="22" t="s">
        <v>539</v>
      </c>
      <c r="C36" s="26">
        <v>55275548</v>
      </c>
      <c r="D36" s="26">
        <v>13238494</v>
      </c>
      <c r="E36" s="26">
        <v>9000000</v>
      </c>
      <c r="F36" s="26">
        <v>2155500</v>
      </c>
      <c r="G36" s="26">
        <f t="shared" si="2"/>
        <v>79669542</v>
      </c>
      <c r="H36" s="24" t="s">
        <v>575</v>
      </c>
      <c r="I36" s="24">
        <f t="shared" si="3"/>
        <v>64275548</v>
      </c>
    </row>
    <row r="37" spans="1:9" ht="16.5" hidden="1" x14ac:dyDescent="0.25">
      <c r="A37" s="21">
        <v>71</v>
      </c>
      <c r="B37" s="22" t="s">
        <v>542</v>
      </c>
      <c r="C37" s="26">
        <v>55047699</v>
      </c>
      <c r="D37" s="26">
        <v>13183923</v>
      </c>
      <c r="E37" s="26">
        <v>9294064</v>
      </c>
      <c r="F37" s="26">
        <v>2225928</v>
      </c>
      <c r="G37" s="26">
        <f t="shared" si="2"/>
        <v>79751614</v>
      </c>
      <c r="H37" s="24" t="s">
        <v>575</v>
      </c>
      <c r="I37" s="24">
        <f t="shared" si="3"/>
        <v>64341763</v>
      </c>
    </row>
    <row r="38" spans="1:9" ht="16.5" x14ac:dyDescent="0.25">
      <c r="A38" s="21">
        <v>72</v>
      </c>
      <c r="B38" s="388" t="s">
        <v>543</v>
      </c>
      <c r="C38" s="26">
        <v>39891734</v>
      </c>
      <c r="D38" s="26">
        <v>9554070.290000001</v>
      </c>
      <c r="E38" s="26">
        <v>9000000</v>
      </c>
      <c r="F38" s="26">
        <v>2155500</v>
      </c>
      <c r="G38" s="26">
        <f t="shared" si="2"/>
        <v>60601304.289999999</v>
      </c>
      <c r="H38" s="24" t="s">
        <v>575</v>
      </c>
      <c r="I38" s="24">
        <f t="shared" si="3"/>
        <v>48891734</v>
      </c>
    </row>
    <row r="39" spans="1:9" ht="16.5" hidden="1" x14ac:dyDescent="0.25">
      <c r="A39" s="21">
        <v>73</v>
      </c>
      <c r="B39" s="22" t="s">
        <v>544</v>
      </c>
      <c r="C39" s="26">
        <v>55741921</v>
      </c>
      <c r="D39" s="26">
        <v>13350190.079500001</v>
      </c>
      <c r="E39" s="26">
        <v>9389000</v>
      </c>
      <c r="F39" s="26">
        <v>2273833.2549999999</v>
      </c>
      <c r="G39" s="26">
        <f t="shared" si="2"/>
        <v>80754944.3345</v>
      </c>
      <c r="H39" s="24" t="s">
        <v>575</v>
      </c>
      <c r="I39" s="24">
        <f t="shared" si="3"/>
        <v>65130921</v>
      </c>
    </row>
    <row r="40" spans="1:9" ht="16.5" hidden="1" x14ac:dyDescent="0.25">
      <c r="A40" s="21">
        <v>74</v>
      </c>
      <c r="B40" s="22" t="s">
        <v>545</v>
      </c>
      <c r="C40" s="26">
        <v>54900800.638849996</v>
      </c>
      <c r="D40" s="26">
        <v>12940118.710576944</v>
      </c>
      <c r="E40" s="26">
        <v>9647150</v>
      </c>
      <c r="F40" s="26">
        <v>2273833.2549999999</v>
      </c>
      <c r="G40" s="26">
        <f t="shared" si="2"/>
        <v>79761902.604426935</v>
      </c>
      <c r="H40" s="24" t="s">
        <v>575</v>
      </c>
      <c r="I40" s="24">
        <f t="shared" si="3"/>
        <v>64547951</v>
      </c>
    </row>
    <row r="41" spans="1:9" ht="16.5" hidden="1" x14ac:dyDescent="0.25">
      <c r="A41" s="21">
        <v>75</v>
      </c>
      <c r="B41" s="22" t="s">
        <v>546</v>
      </c>
      <c r="C41" s="26">
        <v>55350536.731117502</v>
      </c>
      <c r="D41" s="26">
        <v>13256453.547102641</v>
      </c>
      <c r="E41" s="26">
        <v>9345194.2050000001</v>
      </c>
      <c r="F41" s="26">
        <v>2238174.0120975003</v>
      </c>
      <c r="G41" s="26">
        <f t="shared" si="2"/>
        <v>80190358.495317638</v>
      </c>
      <c r="H41" s="24" t="s">
        <v>575</v>
      </c>
      <c r="I41" s="24">
        <f t="shared" si="3"/>
        <v>64695731</v>
      </c>
    </row>
    <row r="42" spans="1:9" ht="16.5" hidden="1" x14ac:dyDescent="0.25">
      <c r="A42" s="21">
        <v>78</v>
      </c>
      <c r="B42" s="22" t="s">
        <v>549</v>
      </c>
      <c r="C42" s="26">
        <v>55924794</v>
      </c>
      <c r="D42" s="26">
        <v>13393988.163000001</v>
      </c>
      <c r="E42" s="26">
        <v>9442148</v>
      </c>
      <c r="F42" s="26">
        <v>2261394.446</v>
      </c>
      <c r="G42" s="26">
        <f t="shared" si="2"/>
        <v>81022324.608999997</v>
      </c>
      <c r="H42" s="24" t="s">
        <v>575</v>
      </c>
      <c r="I42" s="24">
        <f t="shared" si="3"/>
        <v>65366942</v>
      </c>
    </row>
    <row r="43" spans="1:9" ht="16.5" hidden="1" x14ac:dyDescent="0.25">
      <c r="A43" s="21">
        <v>80</v>
      </c>
      <c r="B43" s="22" t="s">
        <v>551</v>
      </c>
      <c r="C43" s="26">
        <v>55653374</v>
      </c>
      <c r="D43" s="26">
        <v>13328983.072999999</v>
      </c>
      <c r="E43" s="26">
        <v>9396324</v>
      </c>
      <c r="F43" s="26">
        <v>2250419.5980000002</v>
      </c>
      <c r="G43" s="26">
        <f t="shared" si="2"/>
        <v>80629100.671000004</v>
      </c>
      <c r="H43" s="24" t="s">
        <v>575</v>
      </c>
      <c r="I43" s="24">
        <f t="shared" si="3"/>
        <v>65049698</v>
      </c>
    </row>
    <row r="44" spans="1:9" ht="16.5" hidden="1" x14ac:dyDescent="0.25">
      <c r="A44" s="21">
        <v>82</v>
      </c>
      <c r="B44" s="22" t="s">
        <v>553</v>
      </c>
      <c r="C44" s="26">
        <v>57138845</v>
      </c>
      <c r="D44" s="26">
        <v>12302907.550020002</v>
      </c>
      <c r="E44" s="26">
        <v>9647150</v>
      </c>
      <c r="F44" s="26">
        <v>2077185.7494000001</v>
      </c>
      <c r="G44" s="26">
        <f t="shared" si="2"/>
        <v>81166088.299420014</v>
      </c>
      <c r="H44" s="24" t="s">
        <v>575</v>
      </c>
      <c r="I44" s="24">
        <f t="shared" si="3"/>
        <v>66785995</v>
      </c>
    </row>
    <row r="45" spans="1:9" ht="16.5" hidden="1" x14ac:dyDescent="0.25">
      <c r="A45" s="21">
        <v>83</v>
      </c>
      <c r="B45" s="22" t="s">
        <v>554</v>
      </c>
      <c r="C45" s="26">
        <v>55910498</v>
      </c>
      <c r="D45" s="26">
        <v>13390565</v>
      </c>
      <c r="E45" s="26">
        <v>9439736</v>
      </c>
      <c r="F45" s="26">
        <v>2260814</v>
      </c>
      <c r="G45" s="26">
        <f t="shared" si="2"/>
        <v>81001613</v>
      </c>
      <c r="H45" s="24" t="s">
        <v>575</v>
      </c>
      <c r="I45" s="24">
        <f t="shared" si="3"/>
        <v>65350234</v>
      </c>
    </row>
    <row r="46" spans="1:9" ht="16.5" hidden="1" x14ac:dyDescent="0.25">
      <c r="A46" s="21">
        <v>84</v>
      </c>
      <c r="B46" s="22" t="s">
        <v>555</v>
      </c>
      <c r="C46" s="26">
        <v>55165722</v>
      </c>
      <c r="D46" s="26">
        <v>11557218</v>
      </c>
      <c r="E46" s="26">
        <v>9200000</v>
      </c>
      <c r="F46" s="26">
        <v>1927400</v>
      </c>
      <c r="G46" s="26">
        <f t="shared" si="2"/>
        <v>77850340</v>
      </c>
      <c r="H46" s="24" t="s">
        <v>575</v>
      </c>
      <c r="I46" s="24">
        <f t="shared" si="3"/>
        <v>64365722</v>
      </c>
    </row>
    <row r="47" spans="1:9" ht="16.5" hidden="1" x14ac:dyDescent="0.25">
      <c r="A47" s="21">
        <v>86</v>
      </c>
      <c r="B47" s="22" t="s">
        <v>557</v>
      </c>
      <c r="C47" s="26">
        <v>54288487</v>
      </c>
      <c r="D47" s="26">
        <v>13002092.640000001</v>
      </c>
      <c r="E47" s="26">
        <v>9165883</v>
      </c>
      <c r="F47" s="26">
        <v>2195229</v>
      </c>
      <c r="G47" s="26">
        <f t="shared" si="2"/>
        <v>78651691.640000001</v>
      </c>
      <c r="H47" s="24" t="s">
        <v>575</v>
      </c>
      <c r="I47" s="24">
        <f t="shared" si="3"/>
        <v>63454370</v>
      </c>
    </row>
    <row r="48" spans="1:9" ht="16.5" hidden="1" x14ac:dyDescent="0.25">
      <c r="A48" s="21">
        <v>89</v>
      </c>
      <c r="B48" s="22" t="s">
        <v>560</v>
      </c>
      <c r="C48" s="26">
        <v>55630517</v>
      </c>
      <c r="D48" s="26">
        <v>13323508.8215</v>
      </c>
      <c r="E48" s="26">
        <v>9392465</v>
      </c>
      <c r="F48" s="26">
        <v>2249495.3675000002</v>
      </c>
      <c r="G48" s="26">
        <f t="shared" si="2"/>
        <v>80595986.18900001</v>
      </c>
      <c r="H48" s="24" t="s">
        <v>575</v>
      </c>
      <c r="I48" s="24">
        <f t="shared" si="3"/>
        <v>65022982</v>
      </c>
    </row>
    <row r="49" spans="1:9" ht="16.5" x14ac:dyDescent="0.25">
      <c r="A49" s="21">
        <v>90</v>
      </c>
      <c r="B49" s="385" t="s">
        <v>561</v>
      </c>
      <c r="C49" s="26">
        <v>50612571</v>
      </c>
      <c r="D49" s="26">
        <v>12121711</v>
      </c>
      <c r="E49" s="26">
        <v>9547150</v>
      </c>
      <c r="F49" s="26">
        <v>2286543</v>
      </c>
      <c r="G49" s="26">
        <f t="shared" si="2"/>
        <v>74567975</v>
      </c>
      <c r="H49" s="24" t="s">
        <v>575</v>
      </c>
      <c r="I49" s="24">
        <f t="shared" si="3"/>
        <v>60159721</v>
      </c>
    </row>
    <row r="50" spans="1:9" ht="16.5" hidden="1" x14ac:dyDescent="0.25">
      <c r="A50" s="21">
        <v>91</v>
      </c>
      <c r="B50" s="22" t="s">
        <v>562</v>
      </c>
      <c r="C50" s="26">
        <v>55586617</v>
      </c>
      <c r="D50" s="26">
        <v>13312995</v>
      </c>
      <c r="E50" s="26">
        <v>9454207</v>
      </c>
      <c r="F50" s="26">
        <v>2264283</v>
      </c>
      <c r="G50" s="26">
        <f t="shared" si="2"/>
        <v>80618102</v>
      </c>
      <c r="H50" s="24" t="s">
        <v>575</v>
      </c>
      <c r="I50" s="24">
        <f t="shared" si="3"/>
        <v>65040824</v>
      </c>
    </row>
    <row r="51" spans="1:9" ht="16.5" hidden="1" x14ac:dyDescent="0.25">
      <c r="A51" s="21">
        <v>92</v>
      </c>
      <c r="B51" s="22" t="s">
        <v>563</v>
      </c>
      <c r="C51" s="26">
        <v>54510594</v>
      </c>
      <c r="D51" s="26">
        <v>13055287</v>
      </c>
      <c r="E51" s="26">
        <v>9203381</v>
      </c>
      <c r="F51" s="26">
        <v>2204210</v>
      </c>
      <c r="G51" s="26">
        <f t="shared" si="2"/>
        <v>78973472</v>
      </c>
      <c r="H51" s="24" t="s">
        <v>575</v>
      </c>
      <c r="I51" s="24">
        <f t="shared" si="3"/>
        <v>63713975</v>
      </c>
    </row>
    <row r="52" spans="1:9" ht="16.5" hidden="1" x14ac:dyDescent="0.25">
      <c r="A52" s="21">
        <v>94</v>
      </c>
      <c r="B52" s="22" t="s">
        <v>510</v>
      </c>
      <c r="C52" s="26">
        <v>54682012</v>
      </c>
      <c r="D52" s="26">
        <v>13096341.874</v>
      </c>
      <c r="E52" s="26">
        <v>9232323</v>
      </c>
      <c r="F52" s="26">
        <v>2211141.3585000001</v>
      </c>
      <c r="G52" s="26">
        <f t="shared" si="2"/>
        <v>79221818.232500002</v>
      </c>
      <c r="H52" s="24" t="s">
        <v>575</v>
      </c>
      <c r="I52" s="24">
        <f t="shared" si="3"/>
        <v>63914335</v>
      </c>
    </row>
    <row r="53" spans="1:9" ht="16.5" hidden="1" x14ac:dyDescent="0.25">
      <c r="A53" s="21">
        <v>95</v>
      </c>
      <c r="B53" s="22" t="s">
        <v>565</v>
      </c>
      <c r="C53" s="26">
        <v>54036340.029542498</v>
      </c>
      <c r="D53" s="26">
        <v>12941703.437075431</v>
      </c>
      <c r="E53" s="26">
        <v>9123309.754999999</v>
      </c>
      <c r="F53" s="26">
        <v>2185032.6863224995</v>
      </c>
      <c r="G53" s="26">
        <f t="shared" si="2"/>
        <v>78286385.907940418</v>
      </c>
      <c r="H53" s="24" t="s">
        <v>575</v>
      </c>
      <c r="I53" s="24">
        <f t="shared" si="3"/>
        <v>63159650</v>
      </c>
    </row>
    <row r="54" spans="1:9" ht="16.5" x14ac:dyDescent="0.25">
      <c r="A54" s="21">
        <v>100</v>
      </c>
      <c r="B54" s="388" t="s">
        <v>569</v>
      </c>
      <c r="C54" s="26">
        <v>52665006</v>
      </c>
      <c r="D54" s="26">
        <v>12613268.5</v>
      </c>
      <c r="E54" s="26">
        <v>8891778</v>
      </c>
      <c r="F54" s="26">
        <v>2129580.91</v>
      </c>
      <c r="G54" s="26">
        <f t="shared" si="2"/>
        <v>76299633.409999996</v>
      </c>
      <c r="H54" s="24" t="s">
        <v>575</v>
      </c>
      <c r="I54" s="24">
        <f t="shared" si="3"/>
        <v>61556784</v>
      </c>
    </row>
  </sheetData>
  <autoFilter ref="A1:I54" xr:uid="{C34C544F-1C48-4C80-966D-D361FA1BB8C0}">
    <filterColumn colId="1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COSTOS GIRARDOT</vt:lpstr>
      <vt:lpstr>COSTOS OTRAS SEDES</vt:lpstr>
      <vt:lpstr>Ev Economica 1</vt:lpstr>
      <vt:lpstr>Ev Economica 1 (2)</vt:lpstr>
      <vt:lpstr>Ev Economica 1 (3)</vt:lpstr>
      <vt:lpstr>Ev Economica 1 (4)</vt:lpstr>
      <vt:lpstr>Ev Economica 1 (5)</vt:lpstr>
      <vt:lpstr>Ev Economica 1 (6)</vt:lpstr>
      <vt:lpstr>Ev Economica 1 (7)</vt:lpstr>
      <vt:lpstr>Analisis Inicial</vt:lpstr>
      <vt:lpstr>Puntaje en Orden Ofertas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Duarte Gutierrez</dc:creator>
  <cp:lastModifiedBy>Alfredo De Jesus Camargo Fernandez</cp:lastModifiedBy>
  <cp:lastPrinted>2019-10-07T14:41:28Z</cp:lastPrinted>
  <dcterms:created xsi:type="dcterms:W3CDTF">2012-09-12T15:57:38Z</dcterms:created>
  <dcterms:modified xsi:type="dcterms:W3CDTF">2024-04-29T16:42:33Z</dcterms:modified>
</cp:coreProperties>
</file>