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\\fileserver\Contratos2024\INDENV-190-03-508-24 SUBASTA VIGILANCIA\"/>
    </mc:Choice>
  </mc:AlternateContent>
  <xr:revisionPtr revIDLastSave="0" documentId="13_ncr:1_{FCC79835-B48D-4789-9D68-EE933436FC9A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Hoja1" sheetId="1" state="hidden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2" l="1"/>
  <c r="K9" i="1"/>
  <c r="S6" i="2"/>
  <c r="S5" i="2"/>
  <c r="K14" i="2"/>
  <c r="K15" i="2"/>
  <c r="K16" i="2"/>
  <c r="K17" i="2"/>
  <c r="K18" i="2"/>
  <c r="K19" i="2"/>
  <c r="K13" i="2"/>
  <c r="K5" i="2"/>
  <c r="K6" i="2"/>
  <c r="K7" i="2"/>
  <c r="K8" i="2"/>
  <c r="K9" i="2"/>
  <c r="K10" i="2"/>
  <c r="K11" i="2"/>
  <c r="G31" i="2"/>
  <c r="H19" i="2"/>
  <c r="J19" i="2" s="1"/>
  <c r="J18" i="2"/>
  <c r="M18" i="2" s="1"/>
  <c r="H18" i="2"/>
  <c r="H17" i="2"/>
  <c r="J17" i="2" s="1"/>
  <c r="H16" i="2"/>
  <c r="J16" i="2" s="1"/>
  <c r="M16" i="2" s="1"/>
  <c r="J15" i="2"/>
  <c r="M15" i="2" s="1"/>
  <c r="H15" i="2"/>
  <c r="H14" i="2"/>
  <c r="J14" i="2" s="1"/>
  <c r="H13" i="2"/>
  <c r="J13" i="2" s="1"/>
  <c r="M13" i="2" s="1"/>
  <c r="H11" i="2"/>
  <c r="J11" i="2" s="1"/>
  <c r="M11" i="2" s="1"/>
  <c r="M10" i="2"/>
  <c r="J10" i="2"/>
  <c r="H10" i="2"/>
  <c r="O9" i="2"/>
  <c r="O10" i="2" s="1"/>
  <c r="J9" i="2"/>
  <c r="M9" i="2" s="1"/>
  <c r="H9" i="2"/>
  <c r="H8" i="2"/>
  <c r="J8" i="2" s="1"/>
  <c r="H7" i="2"/>
  <c r="J7" i="2" s="1"/>
  <c r="M7" i="2" s="1"/>
  <c r="J6" i="2"/>
  <c r="H6" i="2"/>
  <c r="H5" i="2"/>
  <c r="J5" i="2" s="1"/>
  <c r="M5" i="2" s="1"/>
  <c r="R4" i="2"/>
  <c r="P4" i="2"/>
  <c r="J4" i="2"/>
  <c r="H4" i="2"/>
  <c r="G4" i="2"/>
  <c r="Q4" i="2" s="1"/>
  <c r="S4" i="2" s="1"/>
  <c r="S4" i="1"/>
  <c r="R4" i="1"/>
  <c r="Q4" i="1"/>
  <c r="P4" i="1"/>
  <c r="K5" i="1"/>
  <c r="K4" i="1"/>
  <c r="K13" i="1"/>
  <c r="M17" i="2" l="1"/>
  <c r="M14" i="2"/>
  <c r="M19" i="2"/>
  <c r="M20" i="2" s="1"/>
  <c r="N20" i="2" s="1"/>
  <c r="M8" i="2"/>
  <c r="M6" i="2"/>
  <c r="M4" i="2"/>
  <c r="M12" i="2"/>
  <c r="N12" i="2" s="1"/>
  <c r="G31" i="1"/>
  <c r="O10" i="1"/>
  <c r="O9" i="1"/>
  <c r="H18" i="1"/>
  <c r="H17" i="1"/>
  <c r="H16" i="1"/>
  <c r="H19" i="1"/>
  <c r="H15" i="1"/>
  <c r="H14" i="1"/>
  <c r="H13" i="1"/>
  <c r="K19" i="1" l="1"/>
  <c r="J19" i="1"/>
  <c r="K18" i="1"/>
  <c r="J18" i="1"/>
  <c r="K17" i="1"/>
  <c r="J17" i="1"/>
  <c r="M17" i="1" s="1"/>
  <c r="K16" i="1"/>
  <c r="J16" i="1"/>
  <c r="K15" i="1"/>
  <c r="J15" i="1"/>
  <c r="K14" i="1"/>
  <c r="J14" i="1"/>
  <c r="J13" i="1"/>
  <c r="K11" i="1"/>
  <c r="J11" i="1"/>
  <c r="M11" i="1" s="1"/>
  <c r="K10" i="1"/>
  <c r="J10" i="1"/>
  <c r="K8" i="1"/>
  <c r="K7" i="1"/>
  <c r="K6" i="1"/>
  <c r="J5" i="1"/>
  <c r="M5" i="1" s="1"/>
  <c r="H9" i="1"/>
  <c r="J9" i="1" s="1"/>
  <c r="M9" i="1" s="1"/>
  <c r="H8" i="1"/>
  <c r="J8" i="1" s="1"/>
  <c r="M8" i="1" s="1"/>
  <c r="H11" i="1"/>
  <c r="H10" i="1"/>
  <c r="H7" i="1"/>
  <c r="J7" i="1" s="1"/>
  <c r="M7" i="1" s="1"/>
  <c r="H6" i="1"/>
  <c r="J6" i="1" s="1"/>
  <c r="M6" i="1" s="1"/>
  <c r="H5" i="1"/>
  <c r="H4" i="1"/>
  <c r="J4" i="1" s="1"/>
  <c r="M4" i="1" s="1"/>
  <c r="G4" i="1"/>
  <c r="M10" i="1" l="1"/>
  <c r="M15" i="1"/>
  <c r="M18" i="1"/>
  <c r="M19" i="1"/>
  <c r="M16" i="1"/>
  <c r="M14" i="1"/>
  <c r="M13" i="1"/>
  <c r="M12" i="1"/>
  <c r="N12" i="1" s="1"/>
  <c r="M20" i="1" l="1"/>
  <c r="N20" i="1" s="1"/>
</calcChain>
</file>

<file path=xl/sharedStrings.xml><?xml version="1.0" encoding="utf-8"?>
<sst xmlns="http://schemas.openxmlformats.org/spreadsheetml/2006/main" count="92" uniqueCount="30">
  <si>
    <t>PARQUE POLIDEPORTIVO SUR</t>
  </si>
  <si>
    <t>PALMAS</t>
  </si>
  <si>
    <t>PALMERAS</t>
  </si>
  <si>
    <t>SERVICIO 24 HORAS, LUNES A SABADO, DOMINGO Y FESTIVO (Antes del 14 de julio)</t>
  </si>
  <si>
    <t xml:space="preserve">SERVICIO 8 HORAS NOCTURNAS LUNES A SABADO, DOMINGO Y FESTIVO - SIN ARMA (RONDEROS)
22:00 PM HASTA LAS 06:00 AM (Antes del 14 de julio)
</t>
  </si>
  <si>
    <t xml:space="preserve">SERVICIO 8 HORAS NOCTURNAS SABADO, DOMINGO Y FESTIVO - SIN ARMA
22:00 PM HASTA LAS 06:00 AM (Antes del 14 de julio)
</t>
  </si>
  <si>
    <t xml:space="preserve">SERVICIO 12 HORAS NOCTURNAS LUNES A DOMINGO Y FESTIVO - SIN ARMA
18:00 PM HASTA LAS 06:00 AM (Antes del 14 de julio)
</t>
  </si>
  <si>
    <t>SERVICIO 12 HORAS NOCTURNAS LUNES A SABADO, DOMINGO Y FESTIVO - SIN ARMA
18:00 PM HASTA LAS 06:00 AM
(Antes del 14 de julio)</t>
  </si>
  <si>
    <t>SERVICIO 24 HORAS, LUNES A SABADO, DOMINGO Y FESTIVO (despues  del 14 de julio</t>
  </si>
  <si>
    <t>SERVICIO 8 HORAS NOCTURNAS LUNES A SABADO, DOMINGO Y FESTIVO - SIN ARMA (RONDEROS)
22:00 PM HASTA LAS 06:00 AM despues del 14 de julio)</t>
  </si>
  <si>
    <t>SERVICIO 8 HORAS NOCTURNAS SABADO, DOMINGO Y FESTIVO - SIN ARMA
22:00 PM HASTA LAS 06:00 AM (despues del 14 de julio)</t>
  </si>
  <si>
    <t>SERVICIO 12 HORAS NOCTURNAS LUNES A DOMINGO Y FESTIVO - SIN ARMA
18:00 PM HASTA LAS 06:00 AM (despues del 14 de julio)</t>
  </si>
  <si>
    <t>SERVICIO 12 HORAS NOCTURNAS LUNES A SABADO, DOMINGO Y FESTIVO - SIN ARMA
18:00 PM HASTA LAS 06:00 AM
(despues del 14 de julio)</t>
  </si>
  <si>
    <t>promedio sin iva</t>
  </si>
  <si>
    <t>promedio con iva del 1,9%</t>
  </si>
  <si>
    <t>numero de servicios</t>
  </si>
  <si>
    <t>valor servicio completos con iva</t>
  </si>
  <si>
    <t>valor total por mes antes del 14 de julio</t>
  </si>
  <si>
    <t>total antes del 14 de julio</t>
  </si>
  <si>
    <t>valoes del 15 de julio en adelante</t>
  </si>
  <si>
    <t>PARQUE INFANTIL ACUATICO</t>
  </si>
  <si>
    <t xml:space="preserve">
SERVICIO 12 HORAS NOCTURNAS LUNES A DOMINGO Y FESTIVO - SIN ARMA
18:00 PM HASTA LAS 06:00 AM (despues del 14 de julio)</t>
  </si>
  <si>
    <t>SERVICIO 24 HORAS</t>
  </si>
  <si>
    <t>ACROPOLIS</t>
  </si>
  <si>
    <t>SEPECOL</t>
  </si>
  <si>
    <t>GECKO</t>
  </si>
  <si>
    <t>Vr Unitario</t>
  </si>
  <si>
    <t>AIU</t>
  </si>
  <si>
    <t>COMETAS</t>
  </si>
  <si>
    <t>SERVICIO 12 HORAS, LUNES A SABADO, DOMINGO Y FESTIVO (Antes del 14 de julio)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</si>
</sst>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$-240A]\ * #,##0.00_-;\-[$$-240A]\ * #,##0.00_-;_-[$$-240A]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43" fontId="2" fillId="0" borderId="0" applyFont="0" applyFill="0" applyBorder="0" applyAlignment="0" applyProtection="0"/>
  </cellStyleXfs>
  <cellXfs count="28">
    <xf numFmtId="0" fontId="0" fillId="0" borderId="0" xfId="0"/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43" fontId="3" fillId="0" borderId="2" xfId="2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vertical="center" wrapText="1"/>
    </xf>
    <xf numFmtId="43" fontId="3" fillId="0" borderId="0" xfId="0" applyNumberFormat="1" applyFont="1"/>
    <xf numFmtId="43" fontId="4" fillId="3" borderId="2" xfId="2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3" fontId="4" fillId="0" borderId="2" xfId="2" applyFont="1" applyBorder="1" applyAlignment="1">
      <alignment horizontal="center" vertical="center" wrapText="1"/>
    </xf>
    <xf numFmtId="3" fontId="0" fillId="0" borderId="0" xfId="0" applyNumberFormat="1"/>
    <xf numFmtId="3" fontId="3" fillId="0" borderId="0" xfId="0" applyNumberFormat="1" applyFont="1"/>
    <xf numFmtId="164" fontId="5" fillId="4" borderId="2" xfId="0" applyNumberFormat="1" applyFont="1" applyFill="1" applyBorder="1" applyAlignment="1">
      <alignment horizontal="center" vertical="center"/>
    </xf>
    <xf numFmtId="164" fontId="3" fillId="5" borderId="2" xfId="0" applyNumberFormat="1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31"/>
  <sheetViews>
    <sheetView zoomScale="60" zoomScaleNormal="60" workbookViewId="0">
      <pane ySplit="3" topLeftCell="A9" activePane="bottomLeft" state="frozen"/>
      <selection pane="bottomLeft" activeCell="K9" sqref="K9"/>
    </sheetView>
  </sheetViews>
  <sheetFormatPr baseColWidth="10" defaultRowHeight="15.75" x14ac:dyDescent="0.25"/>
  <cols>
    <col min="1" max="1" width="11.42578125" style="4" customWidth="1"/>
    <col min="2" max="2" width="22.42578125" style="4" customWidth="1"/>
    <col min="3" max="3" width="56.42578125" style="4" customWidth="1"/>
    <col min="4" max="4" width="20.7109375" style="4" customWidth="1"/>
    <col min="5" max="5" width="18" style="4" customWidth="1"/>
    <col min="6" max="6" width="29.140625" style="4" customWidth="1"/>
    <col min="7" max="7" width="24.28515625" style="4" customWidth="1"/>
    <col min="8" max="8" width="21.140625" style="4" customWidth="1"/>
    <col min="9" max="9" width="24.5703125" style="4" customWidth="1"/>
    <col min="10" max="10" width="26.7109375" style="4" customWidth="1"/>
    <col min="11" max="11" width="26" style="4" customWidth="1"/>
    <col min="12" max="12" width="11.42578125" style="4"/>
    <col min="13" max="13" width="28.7109375" style="4" customWidth="1"/>
    <col min="14" max="14" width="20.28515625" style="4" customWidth="1"/>
    <col min="15" max="15" width="11.42578125" style="4"/>
    <col min="16" max="16" width="20.140625" style="4" bestFit="1" customWidth="1"/>
    <col min="17" max="17" width="17.85546875" style="4" customWidth="1"/>
    <col min="18" max="18" width="19.5703125" style="4" customWidth="1"/>
    <col min="19" max="19" width="16.28515625" style="4" bestFit="1" customWidth="1"/>
    <col min="20" max="16384" width="11.42578125" style="4"/>
  </cols>
  <sheetData>
    <row r="2" spans="2:19" ht="31.5" x14ac:dyDescent="0.25">
      <c r="B2" s="1"/>
      <c r="C2" s="1"/>
      <c r="D2" s="26" t="s">
        <v>23</v>
      </c>
      <c r="E2" s="27"/>
      <c r="F2" s="26" t="s">
        <v>24</v>
      </c>
      <c r="G2" s="27"/>
      <c r="H2" s="26" t="s">
        <v>25</v>
      </c>
      <c r="I2" s="27"/>
      <c r="J2" s="2" t="s">
        <v>13</v>
      </c>
      <c r="K2" s="2" t="s">
        <v>14</v>
      </c>
      <c r="L2" s="2" t="s">
        <v>15</v>
      </c>
      <c r="M2" s="2" t="s">
        <v>16</v>
      </c>
      <c r="N2" s="3" t="s">
        <v>17</v>
      </c>
    </row>
    <row r="3" spans="2:19" x14ac:dyDescent="0.25">
      <c r="B3" s="1"/>
      <c r="C3" s="1"/>
      <c r="D3" s="5" t="s">
        <v>26</v>
      </c>
      <c r="E3" s="5" t="s">
        <v>27</v>
      </c>
      <c r="F3" s="5" t="s">
        <v>26</v>
      </c>
      <c r="G3" s="5" t="s">
        <v>27</v>
      </c>
      <c r="H3" s="5" t="s">
        <v>26</v>
      </c>
      <c r="I3" s="5" t="s">
        <v>27</v>
      </c>
      <c r="J3" s="2"/>
      <c r="K3" s="2"/>
      <c r="L3" s="2"/>
      <c r="M3" s="2"/>
      <c r="N3" s="3"/>
    </row>
    <row r="4" spans="2:19" ht="126" x14ac:dyDescent="0.25">
      <c r="B4" s="22" t="s">
        <v>0</v>
      </c>
      <c r="C4" s="23" t="s">
        <v>3</v>
      </c>
      <c r="D4" s="13">
        <v>12720540</v>
      </c>
      <c r="E4" s="7">
        <v>1272054</v>
      </c>
      <c r="F4" s="7">
        <v>11783400</v>
      </c>
      <c r="G4" s="7">
        <f>F4*0.08</f>
        <v>942672</v>
      </c>
      <c r="H4" s="7">
        <f>11778000+5400</f>
        <v>11783400</v>
      </c>
      <c r="I4" s="7">
        <v>942672</v>
      </c>
      <c r="J4" s="8">
        <f>(D4+F4+H4)/3</f>
        <v>12095780</v>
      </c>
      <c r="K4" s="9">
        <f>((E4*0.19)+(G4*0.19)+(I4*0.19))/3</f>
        <v>199968.54</v>
      </c>
      <c r="L4" s="20">
        <v>2</v>
      </c>
      <c r="M4" s="19">
        <f>(J4+K4)*L4</f>
        <v>24591497.079999998</v>
      </c>
      <c r="P4" s="12">
        <f>E4*0.19</f>
        <v>241690.26</v>
      </c>
      <c r="Q4" s="12">
        <f>G4*0.19</f>
        <v>179107.68</v>
      </c>
      <c r="R4" s="12">
        <f>I4*0.19</f>
        <v>179107.68</v>
      </c>
      <c r="S4" s="12">
        <f>(P4+Q4+R4)/3</f>
        <v>199968.54</v>
      </c>
    </row>
    <row r="5" spans="2:19" ht="126" x14ac:dyDescent="0.25">
      <c r="B5" s="22" t="s">
        <v>0</v>
      </c>
      <c r="C5" s="23" t="s">
        <v>29</v>
      </c>
      <c r="D5" s="13">
        <v>7024791</v>
      </c>
      <c r="E5" s="7">
        <v>702479</v>
      </c>
      <c r="F5" s="7">
        <v>6507265</v>
      </c>
      <c r="G5" s="7">
        <v>520581</v>
      </c>
      <c r="H5" s="7">
        <f>6504283+2700</f>
        <v>6506983</v>
      </c>
      <c r="I5" s="7">
        <v>520559</v>
      </c>
      <c r="J5" s="8">
        <f t="shared" ref="J5:J11" si="0">(D5+F5+H5)/3</f>
        <v>6679679.666666667</v>
      </c>
      <c r="K5" s="9">
        <f>((E5*0.19)+(G5*0.19)+(I5*0.19))/3</f>
        <v>110429.20333333335</v>
      </c>
      <c r="L5" s="20">
        <v>1</v>
      </c>
      <c r="M5" s="19">
        <f t="shared" ref="M5:M11" si="1">(J5+K5)*L5</f>
        <v>6790108.8700000001</v>
      </c>
    </row>
    <row r="6" spans="2:19" ht="236.25" x14ac:dyDescent="0.25">
      <c r="B6" s="23" t="s">
        <v>0</v>
      </c>
      <c r="C6" s="23" t="s">
        <v>4</v>
      </c>
      <c r="D6" s="13">
        <v>4978536</v>
      </c>
      <c r="E6" s="7">
        <v>497853</v>
      </c>
      <c r="F6" s="7">
        <v>4611761</v>
      </c>
      <c r="G6" s="7">
        <v>368941</v>
      </c>
      <c r="H6" s="7">
        <f>4609647+2160</f>
        <v>4611807</v>
      </c>
      <c r="I6" s="7">
        <v>368945</v>
      </c>
      <c r="J6" s="8">
        <f t="shared" si="0"/>
        <v>4734034.666666667</v>
      </c>
      <c r="K6" s="9">
        <f t="shared" ref="K6:K11" si="2">((E6*0.19)+(G6*0.19)+(I6*0.19))/3</f>
        <v>78263.469999999987</v>
      </c>
      <c r="L6" s="20">
        <v>1</v>
      </c>
      <c r="M6" s="19">
        <f t="shared" si="1"/>
        <v>4812298.1366666667</v>
      </c>
      <c r="P6" s="12"/>
      <c r="Q6" s="12"/>
    </row>
    <row r="7" spans="2:19" ht="204.75" hidden="1" x14ac:dyDescent="0.25">
      <c r="B7" s="10" t="s">
        <v>28</v>
      </c>
      <c r="C7" s="15" t="s">
        <v>5</v>
      </c>
      <c r="D7" s="16">
        <v>7024791</v>
      </c>
      <c r="E7" s="7">
        <v>702479</v>
      </c>
      <c r="F7" s="7">
        <v>4611761</v>
      </c>
      <c r="G7" s="7">
        <v>368941</v>
      </c>
      <c r="H7" s="7">
        <f>4609647+2160</f>
        <v>4611807</v>
      </c>
      <c r="I7" s="7">
        <v>368945</v>
      </c>
      <c r="J7" s="8">
        <f t="shared" si="0"/>
        <v>5416119.666666667</v>
      </c>
      <c r="K7" s="9">
        <f t="shared" si="2"/>
        <v>91223.116666666654</v>
      </c>
      <c r="L7" s="8">
        <v>1</v>
      </c>
      <c r="M7" s="9">
        <f t="shared" si="1"/>
        <v>5507342.7833333332</v>
      </c>
    </row>
    <row r="8" spans="2:19" ht="31.5" x14ac:dyDescent="0.25">
      <c r="B8" s="22" t="s">
        <v>20</v>
      </c>
      <c r="C8" s="23" t="s">
        <v>22</v>
      </c>
      <c r="D8" s="13">
        <v>12720540</v>
      </c>
      <c r="E8" s="7">
        <v>1272054</v>
      </c>
      <c r="F8" s="7">
        <v>11783400</v>
      </c>
      <c r="G8" s="7">
        <v>9426702</v>
      </c>
      <c r="H8" s="7">
        <f>11778000+5400</f>
        <v>11783400</v>
      </c>
      <c r="I8" s="7">
        <v>942672</v>
      </c>
      <c r="J8" s="8">
        <f t="shared" si="0"/>
        <v>12095780</v>
      </c>
      <c r="K8" s="9">
        <f t="shared" si="2"/>
        <v>737290.44000000006</v>
      </c>
      <c r="L8" s="20">
        <v>1</v>
      </c>
      <c r="M8" s="21">
        <f t="shared" si="1"/>
        <v>12833070.439999999</v>
      </c>
    </row>
    <row r="9" spans="2:19" ht="63" x14ac:dyDescent="0.25">
      <c r="B9" s="22" t="s">
        <v>20</v>
      </c>
      <c r="C9" s="23" t="s">
        <v>21</v>
      </c>
      <c r="D9" s="13">
        <v>7024791</v>
      </c>
      <c r="E9" s="7">
        <v>702479</v>
      </c>
      <c r="F9" s="7">
        <v>6507265</v>
      </c>
      <c r="G9" s="7">
        <v>520581</v>
      </c>
      <c r="H9" s="7">
        <f>6504283+2700</f>
        <v>6506983</v>
      </c>
      <c r="I9" s="7">
        <v>520559</v>
      </c>
      <c r="J9" s="8">
        <f t="shared" si="0"/>
        <v>6679679.666666667</v>
      </c>
      <c r="K9" s="9">
        <f>((E9*0.19)+(G9*0.19)+(I9*0.19))/3</f>
        <v>110429.20333333335</v>
      </c>
      <c r="L9" s="20">
        <v>1</v>
      </c>
      <c r="M9" s="21">
        <f t="shared" si="1"/>
        <v>6790108.8700000001</v>
      </c>
      <c r="O9" s="4">
        <f>51493989+19745331</f>
        <v>71239320</v>
      </c>
      <c r="P9" s="4">
        <v>72097927</v>
      </c>
    </row>
    <row r="10" spans="2:19" ht="94.5" customHeight="1" x14ac:dyDescent="0.25">
      <c r="B10" s="22" t="s">
        <v>1</v>
      </c>
      <c r="C10" s="23" t="s">
        <v>6</v>
      </c>
      <c r="D10" s="13">
        <v>7024791</v>
      </c>
      <c r="E10" s="7">
        <v>702479</v>
      </c>
      <c r="F10" s="7">
        <v>6507265</v>
      </c>
      <c r="G10" s="7">
        <v>520581</v>
      </c>
      <c r="H10" s="7">
        <f>6504283+2700</f>
        <v>6506983</v>
      </c>
      <c r="I10" s="7">
        <v>520559</v>
      </c>
      <c r="J10" s="8">
        <f t="shared" si="0"/>
        <v>6679679.666666667</v>
      </c>
      <c r="K10" s="9">
        <f t="shared" si="2"/>
        <v>110429.20333333335</v>
      </c>
      <c r="L10" s="20">
        <v>1</v>
      </c>
      <c r="M10" s="21">
        <f t="shared" si="1"/>
        <v>6790108.8700000001</v>
      </c>
      <c r="O10" s="4">
        <f>O9-P9</f>
        <v>-858607</v>
      </c>
    </row>
    <row r="11" spans="2:19" ht="63" x14ac:dyDescent="0.25">
      <c r="B11" s="22" t="s">
        <v>2</v>
      </c>
      <c r="C11" s="23" t="s">
        <v>7</v>
      </c>
      <c r="D11" s="13">
        <v>7024791</v>
      </c>
      <c r="E11" s="7">
        <v>702479</v>
      </c>
      <c r="F11" s="7">
        <v>6507265</v>
      </c>
      <c r="G11" s="7">
        <v>520581</v>
      </c>
      <c r="H11" s="7">
        <f>6504283+2700</f>
        <v>6506983</v>
      </c>
      <c r="I11" s="7">
        <v>520559</v>
      </c>
      <c r="J11" s="8">
        <f t="shared" si="0"/>
        <v>6679679.666666667</v>
      </c>
      <c r="K11" s="9">
        <f t="shared" si="2"/>
        <v>110429.20333333335</v>
      </c>
      <c r="L11" s="20">
        <v>1</v>
      </c>
      <c r="M11" s="21">
        <f t="shared" si="1"/>
        <v>6790108.8700000001</v>
      </c>
    </row>
    <row r="12" spans="2:19" x14ac:dyDescent="0.25">
      <c r="B12" s="24" t="s">
        <v>18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14">
        <f>SUM(M4:M11)</f>
        <v>74904643.920000002</v>
      </c>
      <c r="N12" s="11">
        <f>M12/5</f>
        <v>14980928.784</v>
      </c>
    </row>
    <row r="13" spans="2:19" ht="66.75" customHeight="1" x14ac:dyDescent="0.25">
      <c r="B13" s="22" t="s">
        <v>0</v>
      </c>
      <c r="C13" s="23" t="s">
        <v>8</v>
      </c>
      <c r="D13" s="13">
        <v>12832860</v>
      </c>
      <c r="E13" s="7">
        <v>1283286</v>
      </c>
      <c r="F13" s="7">
        <v>11887400</v>
      </c>
      <c r="G13" s="7">
        <v>950992</v>
      </c>
      <c r="H13" s="7">
        <f>6337067+2880</f>
        <v>6339947</v>
      </c>
      <c r="I13" s="7">
        <v>507196</v>
      </c>
      <c r="J13" s="8">
        <f t="shared" ref="J13:J19" si="3">(D13+F13+H13)/3</f>
        <v>10353402.333333334</v>
      </c>
      <c r="K13" s="9">
        <f t="shared" ref="K13:K19" si="4">((E13*0.19)+(G13*0.19)+(I13*0.19))/3</f>
        <v>173626.68666666668</v>
      </c>
      <c r="L13" s="8">
        <v>2</v>
      </c>
      <c r="M13" s="9">
        <f t="shared" ref="M13:M19" si="5">(J13+K13)*L13</f>
        <v>21054058.040000003</v>
      </c>
    </row>
    <row r="14" spans="2:19" ht="220.5" x14ac:dyDescent="0.25">
      <c r="B14" s="6" t="s">
        <v>0</v>
      </c>
      <c r="C14" s="10" t="s">
        <v>9</v>
      </c>
      <c r="D14" s="13">
        <v>5022497</v>
      </c>
      <c r="E14" s="7">
        <v>502249</v>
      </c>
      <c r="F14" s="7">
        <v>4652464</v>
      </c>
      <c r="G14" s="7">
        <v>372197</v>
      </c>
      <c r="H14" s="7">
        <f>2480187+1152</f>
        <v>2481339</v>
      </c>
      <c r="I14" s="7">
        <v>198507</v>
      </c>
      <c r="J14" s="8">
        <f t="shared" si="3"/>
        <v>4052100</v>
      </c>
      <c r="K14" s="9">
        <f t="shared" si="4"/>
        <v>67953.69</v>
      </c>
      <c r="L14" s="8">
        <v>1</v>
      </c>
      <c r="M14" s="9">
        <f t="shared" si="5"/>
        <v>4120053.69</v>
      </c>
    </row>
    <row r="15" spans="2:19" ht="189" hidden="1" x14ac:dyDescent="0.25">
      <c r="B15" s="6" t="s">
        <v>28</v>
      </c>
      <c r="C15" s="10" t="s">
        <v>10</v>
      </c>
      <c r="D15" s="13">
        <v>7086819</v>
      </c>
      <c r="E15" s="7">
        <v>708681</v>
      </c>
      <c r="F15" s="7">
        <v>4652464</v>
      </c>
      <c r="G15" s="7">
        <v>372197</v>
      </c>
      <c r="H15" s="7">
        <f>2480187+1152</f>
        <v>2481339</v>
      </c>
      <c r="I15" s="7">
        <v>198507</v>
      </c>
      <c r="J15" s="8">
        <f t="shared" si="3"/>
        <v>4740207.333333333</v>
      </c>
      <c r="K15" s="9">
        <f t="shared" si="4"/>
        <v>81027.716666666674</v>
      </c>
      <c r="L15" s="8">
        <v>1</v>
      </c>
      <c r="M15" s="9">
        <f t="shared" si="5"/>
        <v>4821235.05</v>
      </c>
    </row>
    <row r="16" spans="2:19" ht="47.25" x14ac:dyDescent="0.25">
      <c r="B16" s="22" t="s">
        <v>1</v>
      </c>
      <c r="C16" s="23" t="s">
        <v>11</v>
      </c>
      <c r="D16" s="13">
        <v>7086819</v>
      </c>
      <c r="E16" s="7">
        <v>708681</v>
      </c>
      <c r="F16" s="7">
        <v>6564698</v>
      </c>
      <c r="G16" s="7">
        <v>525176</v>
      </c>
      <c r="H16" s="7">
        <f>3499582+1440</f>
        <v>3501022</v>
      </c>
      <c r="I16" s="7">
        <v>280082</v>
      </c>
      <c r="J16" s="8">
        <f t="shared" si="3"/>
        <v>5717513</v>
      </c>
      <c r="K16" s="9">
        <f t="shared" si="4"/>
        <v>95882.803333333344</v>
      </c>
      <c r="L16" s="8">
        <v>1</v>
      </c>
      <c r="M16" s="9">
        <f t="shared" si="5"/>
        <v>5813395.8033333337</v>
      </c>
    </row>
    <row r="17" spans="2:14" ht="31.5" x14ac:dyDescent="0.25">
      <c r="B17" s="22" t="s">
        <v>20</v>
      </c>
      <c r="C17" s="23" t="s">
        <v>22</v>
      </c>
      <c r="D17" s="13">
        <v>12720540</v>
      </c>
      <c r="E17" s="7">
        <v>1272054</v>
      </c>
      <c r="F17" s="7">
        <v>11887400</v>
      </c>
      <c r="G17" s="7">
        <v>950992</v>
      </c>
      <c r="H17" s="7">
        <f>6337067+2880</f>
        <v>6339947</v>
      </c>
      <c r="I17" s="7">
        <v>507196</v>
      </c>
      <c r="J17" s="8">
        <f t="shared" si="3"/>
        <v>10315962.333333334</v>
      </c>
      <c r="K17" s="9">
        <f t="shared" si="4"/>
        <v>172915.32666666666</v>
      </c>
      <c r="L17" s="8">
        <v>1</v>
      </c>
      <c r="M17" s="9">
        <f t="shared" si="5"/>
        <v>10488877.66</v>
      </c>
    </row>
    <row r="18" spans="2:14" ht="87" customHeight="1" x14ac:dyDescent="0.25">
      <c r="B18" s="22" t="s">
        <v>20</v>
      </c>
      <c r="C18" s="23" t="s">
        <v>21</v>
      </c>
      <c r="D18" s="13">
        <v>7024791</v>
      </c>
      <c r="E18" s="7">
        <v>702479</v>
      </c>
      <c r="F18" s="7">
        <v>6564698</v>
      </c>
      <c r="G18" s="7">
        <v>525176</v>
      </c>
      <c r="H18" s="7">
        <f>3499582+1440</f>
        <v>3501022</v>
      </c>
      <c r="I18" s="7">
        <v>280082</v>
      </c>
      <c r="J18" s="8">
        <f t="shared" si="3"/>
        <v>5696837</v>
      </c>
      <c r="K18" s="9">
        <f t="shared" si="4"/>
        <v>95490.010000000009</v>
      </c>
      <c r="L18" s="8">
        <v>1</v>
      </c>
      <c r="M18" s="9">
        <f t="shared" si="5"/>
        <v>5792327.0099999998</v>
      </c>
    </row>
    <row r="19" spans="2:14" ht="63" x14ac:dyDescent="0.25">
      <c r="B19" s="22" t="s">
        <v>2</v>
      </c>
      <c r="C19" s="23" t="s">
        <v>12</v>
      </c>
      <c r="D19" s="13">
        <v>7086819</v>
      </c>
      <c r="E19" s="7">
        <v>708681</v>
      </c>
      <c r="F19" s="7">
        <v>6564698</v>
      </c>
      <c r="G19" s="7">
        <v>525176</v>
      </c>
      <c r="H19" s="7">
        <f>3499582+1440</f>
        <v>3501022</v>
      </c>
      <c r="I19" s="7">
        <v>280082</v>
      </c>
      <c r="J19" s="8">
        <f t="shared" si="3"/>
        <v>5717513</v>
      </c>
      <c r="K19" s="9">
        <f t="shared" si="4"/>
        <v>95882.803333333344</v>
      </c>
      <c r="L19" s="8">
        <v>1</v>
      </c>
      <c r="M19" s="9">
        <f t="shared" si="5"/>
        <v>5813395.8033333337</v>
      </c>
    </row>
    <row r="20" spans="2:14" x14ac:dyDescent="0.25">
      <c r="B20" s="25" t="s">
        <v>19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9">
        <f>SUM(M13:M19)</f>
        <v>57903343.056666672</v>
      </c>
      <c r="N20" s="9">
        <f>M20/5</f>
        <v>11580668.611333335</v>
      </c>
    </row>
    <row r="28" spans="2:14" x14ac:dyDescent="0.25">
      <c r="G28" s="17">
        <v>64747256</v>
      </c>
    </row>
    <row r="29" spans="2:14" x14ac:dyDescent="0.25">
      <c r="G29" s="17">
        <v>56995728</v>
      </c>
    </row>
    <row r="30" spans="2:14" x14ac:dyDescent="0.25">
      <c r="G30" s="17">
        <v>30397290</v>
      </c>
    </row>
    <row r="31" spans="2:14" x14ac:dyDescent="0.25">
      <c r="G31" s="18">
        <f>AVERAGE(G28:G30)</f>
        <v>50713424.666666664</v>
      </c>
    </row>
  </sheetData>
  <mergeCells count="5">
    <mergeCell ref="B12:L12"/>
    <mergeCell ref="B20:L20"/>
    <mergeCell ref="D2:E2"/>
    <mergeCell ref="F2:G2"/>
    <mergeCell ref="H2:I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190E1-F588-4D1E-AB3B-C7CDE3394B58}">
  <dimension ref="B2:S31"/>
  <sheetViews>
    <sheetView tabSelected="1" topLeftCell="A9" zoomScale="70" zoomScaleNormal="70" workbookViewId="0">
      <selection activeCell="J30" sqref="J30"/>
    </sheetView>
  </sheetViews>
  <sheetFormatPr baseColWidth="10" defaultRowHeight="15.75" x14ac:dyDescent="0.25"/>
  <cols>
    <col min="1" max="1" width="11.42578125" style="4"/>
    <col min="2" max="2" width="22.42578125" style="4" customWidth="1"/>
    <col min="3" max="3" width="56.42578125" style="4" customWidth="1"/>
    <col min="4" max="4" width="20.7109375" style="4" customWidth="1"/>
    <col min="5" max="5" width="18" style="4" customWidth="1"/>
    <col min="6" max="6" width="29.140625" style="4" customWidth="1"/>
    <col min="7" max="7" width="24.28515625" style="4" customWidth="1"/>
    <col min="8" max="8" width="21.140625" style="4" customWidth="1"/>
    <col min="9" max="9" width="24.5703125" style="4" customWidth="1"/>
    <col min="10" max="10" width="26.7109375" style="4" customWidth="1"/>
    <col min="11" max="11" width="26" style="4" customWidth="1"/>
    <col min="12" max="12" width="11.42578125" style="4"/>
    <col min="13" max="13" width="28.7109375" style="4" customWidth="1"/>
    <col min="14" max="14" width="20.28515625" style="4" customWidth="1"/>
    <col min="15" max="15" width="11.42578125" style="4" customWidth="1"/>
    <col min="16" max="16" width="20.140625" style="4" customWidth="1"/>
    <col min="17" max="17" width="17.85546875" style="4" customWidth="1"/>
    <col min="18" max="18" width="19.5703125" style="4" customWidth="1"/>
    <col min="19" max="19" width="16.28515625" style="4" customWidth="1"/>
    <col min="20" max="16384" width="11.42578125" style="4"/>
  </cols>
  <sheetData>
    <row r="2" spans="2:19" ht="31.5" x14ac:dyDescent="0.25">
      <c r="B2" s="1"/>
      <c r="C2" s="1"/>
      <c r="D2" s="26" t="s">
        <v>23</v>
      </c>
      <c r="E2" s="27"/>
      <c r="F2" s="26" t="s">
        <v>24</v>
      </c>
      <c r="G2" s="27"/>
      <c r="H2" s="26" t="s">
        <v>25</v>
      </c>
      <c r="I2" s="27"/>
      <c r="J2" s="2" t="s">
        <v>13</v>
      </c>
      <c r="K2" s="2" t="s">
        <v>14</v>
      </c>
      <c r="L2" s="2" t="s">
        <v>15</v>
      </c>
      <c r="M2" s="2" t="s">
        <v>16</v>
      </c>
      <c r="N2" s="3" t="s">
        <v>17</v>
      </c>
    </row>
    <row r="3" spans="2:19" x14ac:dyDescent="0.25">
      <c r="B3" s="1"/>
      <c r="C3" s="1"/>
      <c r="D3" s="5" t="s">
        <v>26</v>
      </c>
      <c r="E3" s="5" t="s">
        <v>27</v>
      </c>
      <c r="F3" s="5" t="s">
        <v>26</v>
      </c>
      <c r="G3" s="5" t="s">
        <v>27</v>
      </c>
      <c r="H3" s="5" t="s">
        <v>26</v>
      </c>
      <c r="I3" s="5" t="s">
        <v>27</v>
      </c>
      <c r="J3" s="2"/>
      <c r="K3" s="2"/>
      <c r="L3" s="2"/>
      <c r="M3" s="2"/>
      <c r="N3" s="3"/>
    </row>
    <row r="4" spans="2:19" ht="31.5" x14ac:dyDescent="0.25">
      <c r="B4" s="22" t="s">
        <v>0</v>
      </c>
      <c r="C4" s="23" t="s">
        <v>3</v>
      </c>
      <c r="D4" s="13">
        <v>12720540</v>
      </c>
      <c r="E4" s="7">
        <v>1272054</v>
      </c>
      <c r="F4" s="7">
        <v>11783400</v>
      </c>
      <c r="G4" s="7">
        <f>F4*0.08</f>
        <v>942672</v>
      </c>
      <c r="H4" s="7">
        <f>11778000+5400</f>
        <v>11783400</v>
      </c>
      <c r="I4" s="7">
        <v>942672</v>
      </c>
      <c r="J4" s="8">
        <f>(D4+F4+H4)/3</f>
        <v>12095780</v>
      </c>
      <c r="K4" s="9">
        <f>((E4*1.19)+(G4*1.19)+(I4*1.19))/3</f>
        <v>1252434.54</v>
      </c>
      <c r="L4" s="8">
        <v>2</v>
      </c>
      <c r="M4" s="9">
        <f>(J4+K4)*L4</f>
        <v>26696429.079999998</v>
      </c>
      <c r="P4" s="12">
        <f>E4*0.19</f>
        <v>241690.26</v>
      </c>
      <c r="Q4" s="12">
        <f>G4*0.19</f>
        <v>179107.68</v>
      </c>
      <c r="R4" s="12">
        <f>I4*0.19</f>
        <v>179107.68</v>
      </c>
      <c r="S4" s="12">
        <f>(P4+Q4+R4)/3</f>
        <v>199968.54</v>
      </c>
    </row>
    <row r="5" spans="2:19" ht="31.5" x14ac:dyDescent="0.25">
      <c r="B5" s="22" t="s">
        <v>0</v>
      </c>
      <c r="C5" s="23" t="s">
        <v>29</v>
      </c>
      <c r="D5" s="13">
        <v>7024791</v>
      </c>
      <c r="E5" s="7">
        <v>702479</v>
      </c>
      <c r="F5" s="7">
        <v>6507265</v>
      </c>
      <c r="G5" s="7">
        <v>520581</v>
      </c>
      <c r="H5" s="7">
        <f>6504283+2700</f>
        <v>6506983</v>
      </c>
      <c r="I5" s="7">
        <v>520559</v>
      </c>
      <c r="J5" s="8">
        <f t="shared" ref="J5:J11" si="0">(D5+F5+H5)/3</f>
        <v>6679679.666666667</v>
      </c>
      <c r="K5" s="9">
        <f t="shared" ref="K5:K19" si="1">((E5*1.19)+(G5*1.19)+(I5*1.19))/3</f>
        <v>691635.53666666662</v>
      </c>
      <c r="L5" s="8">
        <v>1</v>
      </c>
      <c r="M5" s="9">
        <f t="shared" ref="M5:M11" si="2">(J5+K5)*L5</f>
        <v>7371315.2033333331</v>
      </c>
      <c r="S5" s="12">
        <f>(E4+G4+I4)/3</f>
        <v>1052466</v>
      </c>
    </row>
    <row r="6" spans="2:19" ht="63" x14ac:dyDescent="0.25">
      <c r="B6" s="23" t="s">
        <v>0</v>
      </c>
      <c r="C6" s="23" t="s">
        <v>4</v>
      </c>
      <c r="D6" s="13">
        <v>4978536</v>
      </c>
      <c r="E6" s="7">
        <v>497853</v>
      </c>
      <c r="F6" s="7">
        <v>4611761</v>
      </c>
      <c r="G6" s="7">
        <v>368941</v>
      </c>
      <c r="H6" s="7">
        <f>4609647+2160</f>
        <v>4611807</v>
      </c>
      <c r="I6" s="7">
        <v>368945</v>
      </c>
      <c r="J6" s="8">
        <f t="shared" si="0"/>
        <v>4734034.666666667</v>
      </c>
      <c r="K6" s="9">
        <f t="shared" si="1"/>
        <v>490176.47</v>
      </c>
      <c r="L6" s="8">
        <v>1</v>
      </c>
      <c r="M6" s="9">
        <f t="shared" si="2"/>
        <v>5224211.1366666667</v>
      </c>
      <c r="P6" s="12"/>
      <c r="Q6" s="12"/>
      <c r="S6" s="12">
        <f>SUM(S4:S5)</f>
        <v>1252434.54</v>
      </c>
    </row>
    <row r="7" spans="2:19" ht="63" hidden="1" x14ac:dyDescent="0.25">
      <c r="B7" s="10" t="s">
        <v>28</v>
      </c>
      <c r="C7" s="15" t="s">
        <v>5</v>
      </c>
      <c r="D7" s="16">
        <v>7024791</v>
      </c>
      <c r="E7" s="7">
        <v>702479</v>
      </c>
      <c r="F7" s="7">
        <v>4611761</v>
      </c>
      <c r="G7" s="7">
        <v>368941</v>
      </c>
      <c r="H7" s="7">
        <f>4609647+2160</f>
        <v>4611807</v>
      </c>
      <c r="I7" s="7">
        <v>368945</v>
      </c>
      <c r="J7" s="8">
        <f t="shared" si="0"/>
        <v>5416119.666666667</v>
      </c>
      <c r="K7" s="9">
        <f t="shared" si="1"/>
        <v>571344.78333333333</v>
      </c>
      <c r="L7" s="8">
        <v>1</v>
      </c>
      <c r="M7" s="9">
        <f t="shared" si="2"/>
        <v>5987464.4500000002</v>
      </c>
    </row>
    <row r="8" spans="2:19" ht="31.5" x14ac:dyDescent="0.25">
      <c r="B8" s="22" t="s">
        <v>20</v>
      </c>
      <c r="C8" s="23" t="s">
        <v>22</v>
      </c>
      <c r="D8" s="13">
        <v>12720540</v>
      </c>
      <c r="E8" s="7">
        <v>1272054</v>
      </c>
      <c r="F8" s="7">
        <v>11783400</v>
      </c>
      <c r="G8" s="7">
        <v>9426702</v>
      </c>
      <c r="H8" s="7">
        <f>11778000+5400</f>
        <v>11783400</v>
      </c>
      <c r="I8" s="7">
        <v>942672</v>
      </c>
      <c r="J8" s="8">
        <f t="shared" si="0"/>
        <v>12095780</v>
      </c>
      <c r="K8" s="9">
        <f t="shared" si="1"/>
        <v>4617766.4399999995</v>
      </c>
      <c r="L8" s="8">
        <v>1</v>
      </c>
      <c r="M8" s="9">
        <f t="shared" si="2"/>
        <v>16713546.439999999</v>
      </c>
    </row>
    <row r="9" spans="2:19" ht="63" x14ac:dyDescent="0.25">
      <c r="B9" s="22" t="s">
        <v>20</v>
      </c>
      <c r="C9" s="23" t="s">
        <v>21</v>
      </c>
      <c r="D9" s="13">
        <v>7024791</v>
      </c>
      <c r="E9" s="7">
        <v>702479</v>
      </c>
      <c r="F9" s="7">
        <v>6507265</v>
      </c>
      <c r="G9" s="7">
        <v>520581</v>
      </c>
      <c r="H9" s="7">
        <f>6504283+2700</f>
        <v>6506983</v>
      </c>
      <c r="I9" s="7">
        <v>520559</v>
      </c>
      <c r="J9" s="8">
        <f t="shared" si="0"/>
        <v>6679679.666666667</v>
      </c>
      <c r="K9" s="9">
        <f t="shared" si="1"/>
        <v>691635.53666666662</v>
      </c>
      <c r="L9" s="8">
        <v>1</v>
      </c>
      <c r="M9" s="9">
        <f t="shared" si="2"/>
        <v>7371315.2033333331</v>
      </c>
      <c r="O9" s="4">
        <f>51493989+19745331</f>
        <v>71239320</v>
      </c>
      <c r="P9" s="4">
        <v>72097927</v>
      </c>
    </row>
    <row r="10" spans="2:19" ht="94.5" customHeight="1" x14ac:dyDescent="0.25">
      <c r="B10" s="22" t="s">
        <v>1</v>
      </c>
      <c r="C10" s="23" t="s">
        <v>6</v>
      </c>
      <c r="D10" s="13">
        <v>7024791</v>
      </c>
      <c r="E10" s="7">
        <v>702479</v>
      </c>
      <c r="F10" s="7">
        <v>6507265</v>
      </c>
      <c r="G10" s="7">
        <v>520581</v>
      </c>
      <c r="H10" s="7">
        <f>6504283+2700</f>
        <v>6506983</v>
      </c>
      <c r="I10" s="7">
        <v>520559</v>
      </c>
      <c r="J10" s="8">
        <f t="shared" si="0"/>
        <v>6679679.666666667</v>
      </c>
      <c r="K10" s="9">
        <f t="shared" si="1"/>
        <v>691635.53666666662</v>
      </c>
      <c r="L10" s="8">
        <v>1</v>
      </c>
      <c r="M10" s="9">
        <f t="shared" si="2"/>
        <v>7371315.2033333331</v>
      </c>
      <c r="O10" s="4">
        <f>O9-P9</f>
        <v>-858607</v>
      </c>
    </row>
    <row r="11" spans="2:19" ht="63" x14ac:dyDescent="0.25">
      <c r="B11" s="22" t="s">
        <v>2</v>
      </c>
      <c r="C11" s="23" t="s">
        <v>7</v>
      </c>
      <c r="D11" s="13">
        <v>7024791</v>
      </c>
      <c r="E11" s="7">
        <v>702479</v>
      </c>
      <c r="F11" s="7">
        <v>6507265</v>
      </c>
      <c r="G11" s="7">
        <v>520581</v>
      </c>
      <c r="H11" s="7">
        <f>6504283+2700</f>
        <v>6506983</v>
      </c>
      <c r="I11" s="7">
        <v>520559</v>
      </c>
      <c r="J11" s="8">
        <f t="shared" si="0"/>
        <v>6679679.666666667</v>
      </c>
      <c r="K11" s="9">
        <f t="shared" si="1"/>
        <v>691635.53666666662</v>
      </c>
      <c r="L11" s="8">
        <v>1</v>
      </c>
      <c r="M11" s="9">
        <f t="shared" si="2"/>
        <v>7371315.2033333331</v>
      </c>
    </row>
    <row r="12" spans="2:19" x14ac:dyDescent="0.25">
      <c r="B12" s="24" t="s">
        <v>18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14">
        <f>SUM(M4:M11)</f>
        <v>84106911.920000002</v>
      </c>
      <c r="N12" s="11">
        <f>M12/5</f>
        <v>16821382.384</v>
      </c>
    </row>
    <row r="13" spans="2:19" ht="66.75" customHeight="1" x14ac:dyDescent="0.25">
      <c r="B13" s="22" t="s">
        <v>0</v>
      </c>
      <c r="C13" s="23" t="s">
        <v>8</v>
      </c>
      <c r="D13" s="13">
        <v>12832860</v>
      </c>
      <c r="E13" s="7">
        <v>1283286</v>
      </c>
      <c r="F13" s="7">
        <v>11887400</v>
      </c>
      <c r="G13" s="7">
        <v>950992</v>
      </c>
      <c r="H13" s="7">
        <f>6337067+2880</f>
        <v>6339947</v>
      </c>
      <c r="I13" s="7">
        <v>507196</v>
      </c>
      <c r="J13" s="8">
        <f t="shared" ref="J13:J19" si="3">(D13+F13+H13)/3</f>
        <v>10353402.333333334</v>
      </c>
      <c r="K13" s="9">
        <f t="shared" si="1"/>
        <v>1087451.3533333333</v>
      </c>
      <c r="L13" s="8">
        <v>2</v>
      </c>
      <c r="M13" s="9">
        <f t="shared" ref="M13:M19" si="4">(J13+K13)*L13</f>
        <v>22881707.373333335</v>
      </c>
    </row>
    <row r="14" spans="2:19" ht="47.25" x14ac:dyDescent="0.25">
      <c r="B14" s="6" t="s">
        <v>0</v>
      </c>
      <c r="C14" s="10" t="s">
        <v>9</v>
      </c>
      <c r="D14" s="13">
        <v>5022497</v>
      </c>
      <c r="E14" s="7">
        <v>502249</v>
      </c>
      <c r="F14" s="7">
        <v>4652464</v>
      </c>
      <c r="G14" s="7">
        <v>372197</v>
      </c>
      <c r="H14" s="7">
        <f>2480187+1152</f>
        <v>2481339</v>
      </c>
      <c r="I14" s="7">
        <v>198507</v>
      </c>
      <c r="J14" s="8">
        <f t="shared" si="3"/>
        <v>4052100</v>
      </c>
      <c r="K14" s="9">
        <f t="shared" si="1"/>
        <v>425604.69</v>
      </c>
      <c r="L14" s="8">
        <v>1</v>
      </c>
      <c r="M14" s="9">
        <f t="shared" si="4"/>
        <v>4477704.6900000004</v>
      </c>
    </row>
    <row r="15" spans="2:19" ht="47.25" hidden="1" x14ac:dyDescent="0.25">
      <c r="B15" s="6" t="s">
        <v>28</v>
      </c>
      <c r="C15" s="10" t="s">
        <v>10</v>
      </c>
      <c r="D15" s="13">
        <v>7086819</v>
      </c>
      <c r="E15" s="7">
        <v>708681</v>
      </c>
      <c r="F15" s="7">
        <v>4652464</v>
      </c>
      <c r="G15" s="7">
        <v>372197</v>
      </c>
      <c r="H15" s="7">
        <f>2480187+1152</f>
        <v>2481339</v>
      </c>
      <c r="I15" s="7">
        <v>198507</v>
      </c>
      <c r="J15" s="8">
        <f t="shared" si="3"/>
        <v>4740207.333333333</v>
      </c>
      <c r="K15" s="9">
        <f t="shared" si="1"/>
        <v>507489.38333333336</v>
      </c>
      <c r="L15" s="8">
        <v>1</v>
      </c>
      <c r="M15" s="9">
        <f t="shared" si="4"/>
        <v>5247696.7166666668</v>
      </c>
    </row>
    <row r="16" spans="2:19" ht="47.25" x14ac:dyDescent="0.25">
      <c r="B16" s="22" t="s">
        <v>1</v>
      </c>
      <c r="C16" s="23" t="s">
        <v>11</v>
      </c>
      <c r="D16" s="13">
        <v>7086819</v>
      </c>
      <c r="E16" s="7">
        <v>708681</v>
      </c>
      <c r="F16" s="7">
        <v>6564698</v>
      </c>
      <c r="G16" s="7">
        <v>525176</v>
      </c>
      <c r="H16" s="7">
        <f>3499582+1440</f>
        <v>3501022</v>
      </c>
      <c r="I16" s="7">
        <v>280082</v>
      </c>
      <c r="J16" s="8">
        <f t="shared" si="3"/>
        <v>5717513</v>
      </c>
      <c r="K16" s="9">
        <f t="shared" si="1"/>
        <v>600529.13666666672</v>
      </c>
      <c r="L16" s="8">
        <v>1</v>
      </c>
      <c r="M16" s="9">
        <f t="shared" si="4"/>
        <v>6318042.1366666667</v>
      </c>
    </row>
    <row r="17" spans="2:14" ht="31.5" x14ac:dyDescent="0.25">
      <c r="B17" s="22" t="s">
        <v>20</v>
      </c>
      <c r="C17" s="23" t="s">
        <v>22</v>
      </c>
      <c r="D17" s="13">
        <v>12720540</v>
      </c>
      <c r="E17" s="7">
        <v>1272054</v>
      </c>
      <c r="F17" s="7">
        <v>11887400</v>
      </c>
      <c r="G17" s="7">
        <v>950992</v>
      </c>
      <c r="H17" s="7">
        <f>6337067+2880</f>
        <v>6339947</v>
      </c>
      <c r="I17" s="7">
        <v>507196</v>
      </c>
      <c r="J17" s="8">
        <f t="shared" si="3"/>
        <v>10315962.333333334</v>
      </c>
      <c r="K17" s="9">
        <f t="shared" si="1"/>
        <v>1082995.9933333334</v>
      </c>
      <c r="L17" s="8">
        <v>1</v>
      </c>
      <c r="M17" s="9">
        <f t="shared" si="4"/>
        <v>11398958.326666668</v>
      </c>
    </row>
    <row r="18" spans="2:14" ht="87" customHeight="1" x14ac:dyDescent="0.25">
      <c r="B18" s="22" t="s">
        <v>20</v>
      </c>
      <c r="C18" s="23" t="s">
        <v>21</v>
      </c>
      <c r="D18" s="13">
        <v>7024791</v>
      </c>
      <c r="E18" s="7">
        <v>702479</v>
      </c>
      <c r="F18" s="7">
        <v>6564698</v>
      </c>
      <c r="G18" s="7">
        <v>525176</v>
      </c>
      <c r="H18" s="7">
        <f>3499582+1440</f>
        <v>3501022</v>
      </c>
      <c r="I18" s="7">
        <v>280082</v>
      </c>
      <c r="J18" s="8">
        <f t="shared" si="3"/>
        <v>5696837</v>
      </c>
      <c r="K18" s="9">
        <f t="shared" si="1"/>
        <v>598069.00999999989</v>
      </c>
      <c r="L18" s="8">
        <v>1</v>
      </c>
      <c r="M18" s="9">
        <f t="shared" si="4"/>
        <v>6294906.0099999998</v>
      </c>
    </row>
    <row r="19" spans="2:14" ht="63" x14ac:dyDescent="0.25">
      <c r="B19" s="22" t="s">
        <v>2</v>
      </c>
      <c r="C19" s="23" t="s">
        <v>12</v>
      </c>
      <c r="D19" s="13">
        <v>7086819</v>
      </c>
      <c r="E19" s="7">
        <v>708681</v>
      </c>
      <c r="F19" s="7">
        <v>6564698</v>
      </c>
      <c r="G19" s="7">
        <v>525176</v>
      </c>
      <c r="H19" s="7">
        <f>3499582+1440</f>
        <v>3501022</v>
      </c>
      <c r="I19" s="7">
        <v>280082</v>
      </c>
      <c r="J19" s="8">
        <f t="shared" si="3"/>
        <v>5717513</v>
      </c>
      <c r="K19" s="9">
        <f t="shared" si="1"/>
        <v>600529.13666666672</v>
      </c>
      <c r="L19" s="8">
        <v>1</v>
      </c>
      <c r="M19" s="9">
        <f t="shared" si="4"/>
        <v>6318042.1366666667</v>
      </c>
    </row>
    <row r="20" spans="2:14" x14ac:dyDescent="0.25">
      <c r="B20" s="25" t="s">
        <v>19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9">
        <f>SUM(M13:M19)</f>
        <v>62937057.390000001</v>
      </c>
      <c r="N20" s="9">
        <f>M20/5</f>
        <v>12587411.478</v>
      </c>
    </row>
    <row r="28" spans="2:14" x14ac:dyDescent="0.25">
      <c r="G28" s="17">
        <v>64747256</v>
      </c>
    </row>
    <row r="29" spans="2:14" x14ac:dyDescent="0.25">
      <c r="G29" s="17">
        <v>56995728</v>
      </c>
    </row>
    <row r="30" spans="2:14" x14ac:dyDescent="0.25">
      <c r="G30" s="17">
        <v>30397290</v>
      </c>
    </row>
    <row r="31" spans="2:14" x14ac:dyDescent="0.25">
      <c r="G31" s="18">
        <f>AVERAGE(G28:G30)</f>
        <v>50713424.666666664</v>
      </c>
    </row>
  </sheetData>
  <mergeCells count="5">
    <mergeCell ref="D2:E2"/>
    <mergeCell ref="F2:G2"/>
    <mergeCell ref="H2:I2"/>
    <mergeCell ref="B12:L12"/>
    <mergeCell ref="B20:L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Rodríguez Vásquez</dc:creator>
  <cp:lastModifiedBy>Juan Fernando Ochoa Amaya</cp:lastModifiedBy>
  <dcterms:created xsi:type="dcterms:W3CDTF">2023-03-06T22:11:26Z</dcterms:created>
  <dcterms:modified xsi:type="dcterms:W3CDTF">2024-04-18T22:12:15Z</dcterms:modified>
</cp:coreProperties>
</file>