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defaultThemeVersion="124226"/>
  <mc:AlternateContent xmlns:mc="http://schemas.openxmlformats.org/markup-compatibility/2006">
    <mc:Choice Requires="x15">
      <x15ac:absPath xmlns:x15ac="http://schemas.microsoft.com/office/spreadsheetml/2010/11/ac" url="G:\Mi unidad\3. ALCALDIA MANIZALES\3-PREPLIEGOS MALTERIA\CORRECCION MALTERIA PREPLIEGOS\"/>
    </mc:Choice>
  </mc:AlternateContent>
  <xr:revisionPtr revIDLastSave="0" documentId="13_ncr:1_{D7F6C6AD-F2DE-4DC6-BB70-679CB92C5AA8}" xr6:coauthVersionLast="47" xr6:coauthVersionMax="47" xr10:uidLastSave="{00000000-0000-0000-0000-000000000000}"/>
  <bookViews>
    <workbookView xWindow="28680" yWindow="-120" windowWidth="29040" windowHeight="16440" xr2:uid="{00000000-000D-0000-FFFF-FFFF00000000}"/>
  </bookViews>
  <sheets>
    <sheet name="PRESUPUESTO OFICIAL 1 (Entidad)" sheetId="5" r:id="rId1"/>
    <sheet name="APU'S MALTERIA" sheetId="12" r:id="rId2"/>
    <sheet name="A.U. OBRA" sheetId="3" r:id="rId3"/>
    <sheet name="PROPUESTA ECONOMICA(Proponente)" sheetId="8" r:id="rId4"/>
    <sheet name="INDICAR CÓDIGO DEL ITEM DE PAGO" sheetId="9" r:id="rId5"/>
  </sheets>
  <calcPr calcId="191029"/>
</workbook>
</file>

<file path=xl/calcChain.xml><?xml version="1.0" encoding="utf-8"?>
<calcChain xmlns="http://schemas.openxmlformats.org/spreadsheetml/2006/main">
  <c r="J114" i="5" l="1"/>
  <c r="K114" i="5" s="1"/>
  <c r="J113" i="5"/>
  <c r="K113" i="5" s="1"/>
  <c r="J110" i="5"/>
  <c r="K110" i="5" s="1"/>
  <c r="J109" i="5"/>
  <c r="K109" i="5" s="1"/>
  <c r="J108" i="5"/>
  <c r="J107" i="5"/>
  <c r="K107" i="5" s="1"/>
  <c r="J106" i="5"/>
  <c r="K106" i="5" s="1"/>
  <c r="J105" i="5"/>
  <c r="K105" i="5" s="1"/>
  <c r="J102" i="5"/>
  <c r="J101" i="5"/>
  <c r="K101" i="5" s="1"/>
  <c r="J100" i="5"/>
  <c r="J99" i="5"/>
  <c r="K99" i="5" s="1"/>
  <c r="J96" i="5"/>
  <c r="K96" i="5" s="1"/>
  <c r="J95" i="5"/>
  <c r="J94" i="5"/>
  <c r="K94" i="5" s="1"/>
  <c r="J91" i="5"/>
  <c r="J90" i="5"/>
  <c r="J87" i="5"/>
  <c r="K87" i="5" s="1"/>
  <c r="J86" i="5"/>
  <c r="K86" i="5" s="1"/>
  <c r="J85" i="5"/>
  <c r="K85" i="5" s="1"/>
  <c r="J84" i="5"/>
  <c r="J83" i="5"/>
  <c r="K83" i="5" s="1"/>
  <c r="J82" i="5"/>
  <c r="K82" i="5" s="1"/>
  <c r="J79" i="5"/>
  <c r="K79" i="5" s="1"/>
  <c r="J78" i="5"/>
  <c r="K78" i="5" s="1"/>
  <c r="J77" i="5"/>
  <c r="K77" i="5" s="1"/>
  <c r="J74" i="5"/>
  <c r="K74" i="5" s="1"/>
  <c r="K75" i="5" s="1"/>
  <c r="J71" i="5"/>
  <c r="K71" i="5" s="1"/>
  <c r="J70" i="5"/>
  <c r="J67" i="5"/>
  <c r="J66" i="5"/>
  <c r="J65" i="5"/>
  <c r="J62" i="5"/>
  <c r="J59" i="5"/>
  <c r="K59" i="5" s="1"/>
  <c r="J58" i="5"/>
  <c r="J55" i="5"/>
  <c r="J54" i="5"/>
  <c r="K54" i="5" s="1"/>
  <c r="J51" i="5"/>
  <c r="J50" i="5"/>
  <c r="K50" i="5" s="1"/>
  <c r="J49" i="5"/>
  <c r="J48" i="5"/>
  <c r="J47" i="5"/>
  <c r="J44" i="5"/>
  <c r="K44" i="5" s="1"/>
  <c r="J43" i="5"/>
  <c r="J42" i="5"/>
  <c r="K42" i="5" s="1"/>
  <c r="J41" i="5"/>
  <c r="K41" i="5" s="1"/>
  <c r="J38" i="5"/>
  <c r="K38" i="5" s="1"/>
  <c r="J37" i="5"/>
  <c r="J36" i="5"/>
  <c r="K36" i="5" s="1"/>
  <c r="J33" i="5"/>
  <c r="K33" i="5" s="1"/>
  <c r="K34" i="5" s="1"/>
  <c r="J30" i="5"/>
  <c r="K30" i="5" s="1"/>
  <c r="J29" i="5"/>
  <c r="J28" i="5"/>
  <c r="J27" i="5"/>
  <c r="K27" i="5" s="1"/>
  <c r="J26" i="5"/>
  <c r="J25" i="5"/>
  <c r="J24" i="5"/>
  <c r="J23" i="5"/>
  <c r="J20" i="5"/>
  <c r="K20" i="5" s="1"/>
  <c r="J19" i="5"/>
  <c r="K19" i="5" s="1"/>
  <c r="J18" i="5"/>
  <c r="J15" i="5"/>
  <c r="K15" i="5" s="1"/>
  <c r="J14" i="5"/>
  <c r="K14" i="5" s="1"/>
  <c r="M9" i="3"/>
  <c r="N9" i="3" s="1"/>
  <c r="K108" i="5"/>
  <c r="K102" i="5"/>
  <c r="K100" i="5"/>
  <c r="K95" i="5"/>
  <c r="K91" i="5"/>
  <c r="K90" i="5"/>
  <c r="K84" i="5"/>
  <c r="K70" i="5"/>
  <c r="K67" i="5"/>
  <c r="K66" i="5"/>
  <c r="K65" i="5"/>
  <c r="K62" i="5"/>
  <c r="K58" i="5"/>
  <c r="K55" i="5"/>
  <c r="K51" i="5"/>
  <c r="K49" i="5"/>
  <c r="K48" i="5"/>
  <c r="K47" i="5"/>
  <c r="K43" i="5"/>
  <c r="K37" i="5"/>
  <c r="K29" i="5"/>
  <c r="N11" i="3"/>
  <c r="N10" i="3"/>
  <c r="N5" i="3"/>
  <c r="H13" i="3"/>
  <c r="J13" i="3" s="1"/>
  <c r="F41" i="3"/>
  <c r="H15" i="3"/>
  <c r="H16" i="3"/>
  <c r="H17" i="3"/>
  <c r="H18" i="3"/>
  <c r="H14" i="3"/>
  <c r="H12" i="3"/>
  <c r="K111" i="5" l="1"/>
  <c r="M14" i="3"/>
  <c r="K103" i="5"/>
  <c r="K97" i="5"/>
  <c r="K92" i="5"/>
  <c r="K88" i="5"/>
  <c r="K80" i="5"/>
  <c r="K68" i="5"/>
  <c r="K72" i="5"/>
  <c r="K63" i="5"/>
  <c r="K56" i="5"/>
  <c r="K52" i="5"/>
  <c r="K45" i="5"/>
  <c r="K39" i="5"/>
  <c r="K60" i="5"/>
  <c r="K16" i="5"/>
  <c r="K115" i="5"/>
  <c r="J18" i="3"/>
  <c r="J16" i="3"/>
  <c r="J17" i="3"/>
  <c r="J15" i="3"/>
  <c r="J14" i="3"/>
  <c r="J12" i="3"/>
  <c r="XFD19" i="3"/>
  <c r="K28" i="5"/>
  <c r="K25" i="5"/>
  <c r="K24" i="5"/>
  <c r="K23" i="5"/>
  <c r="K18" i="5"/>
  <c r="K21" i="5" s="1"/>
  <c r="K26" i="5"/>
  <c r="XFD14" i="3" l="1"/>
  <c r="K31" i="5"/>
  <c r="K116" i="5" s="1"/>
  <c r="G38" i="3"/>
  <c r="G36" i="3"/>
  <c r="G39" i="3"/>
  <c r="G41" i="3" l="1"/>
  <c r="H41" i="3" s="1"/>
  <c r="J41" i="3" s="1"/>
  <c r="K127" i="5" l="1"/>
  <c r="K126" i="5"/>
  <c r="G40" i="3" l="1"/>
  <c r="G37" i="3"/>
  <c r="G42" i="3" s="1"/>
  <c r="G35" i="3"/>
  <c r="H33" i="3"/>
  <c r="H32" i="3"/>
  <c r="J32" i="3" s="1"/>
  <c r="G30" i="3"/>
  <c r="G29" i="3"/>
  <c r="G28" i="3"/>
  <c r="G27" i="3"/>
  <c r="K23" i="3"/>
  <c r="F39" i="3"/>
  <c r="H39" i="3" l="1"/>
  <c r="J39" i="3" s="1"/>
  <c r="I10" i="3"/>
  <c r="J10" i="3" s="1"/>
  <c r="J9" i="3" s="1"/>
  <c r="J33" i="3"/>
  <c r="K31" i="3" s="1"/>
  <c r="F36" i="3"/>
  <c r="H36" i="3" s="1"/>
  <c r="J36" i="3" s="1"/>
  <c r="F38" i="3"/>
  <c r="H38" i="3" s="1"/>
  <c r="J38" i="3" s="1"/>
  <c r="F40" i="3"/>
  <c r="H40" i="3" s="1"/>
  <c r="J40" i="3" s="1"/>
  <c r="F42" i="3"/>
  <c r="H42" i="3" s="1"/>
  <c r="J42" i="3" s="1"/>
  <c r="K10" i="3"/>
  <c r="F27" i="3"/>
  <c r="H27" i="3" s="1"/>
  <c r="F28" i="3"/>
  <c r="H28" i="3" s="1"/>
  <c r="J28" i="3" s="1"/>
  <c r="F29" i="3"/>
  <c r="H29" i="3" s="1"/>
  <c r="J29" i="3" s="1"/>
  <c r="F30" i="3"/>
  <c r="H30" i="3" s="1"/>
  <c r="J30" i="3" s="1"/>
  <c r="I31" i="3"/>
  <c r="J31" i="3" s="1"/>
  <c r="F35" i="3"/>
  <c r="H35" i="3" s="1"/>
  <c r="F37" i="3"/>
  <c r="H37" i="3" s="1"/>
  <c r="J37" i="3" s="1"/>
  <c r="J35" i="3" l="1"/>
  <c r="K34" i="3" s="1"/>
  <c r="I34" i="3"/>
  <c r="J34" i="3" s="1"/>
  <c r="I26" i="3"/>
  <c r="J27" i="3"/>
  <c r="K26" i="3" s="1"/>
  <c r="J26" i="3" l="1"/>
  <c r="J22" i="3" s="1"/>
  <c r="I43" i="3"/>
  <c r="K43" i="3" l="1"/>
  <c r="J43" i="3"/>
  <c r="J46" i="3" s="1"/>
  <c r="K128" i="5" l="1"/>
  <c r="K125" i="5"/>
  <c r="K120" i="5" l="1"/>
  <c r="K121" i="5" l="1"/>
  <c r="P121" i="5"/>
  <c r="P124"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G24" authorId="0" shapeId="0" xr:uid="{00000000-0006-0000-0200-000001000000}">
      <text>
        <r>
          <rPr>
            <b/>
            <sz val="8"/>
            <color indexed="8"/>
            <rFont val="Times New Roman"/>
            <family val="1"/>
          </rPr>
          <t xml:space="preserve">win98:
</t>
        </r>
        <r>
          <rPr>
            <sz val="8"/>
            <color indexed="8"/>
            <rFont val="Times New Roman"/>
            <family val="1"/>
          </rPr>
          <t xml:space="preserve">Establecer este factor en función al valor aproximado del AIU.
</t>
        </r>
      </text>
    </comment>
    <comment ref="E32" authorId="0" shapeId="0" xr:uid="{00000000-0006-0000-0200-000002000000}">
      <text>
        <r>
          <rPr>
            <b/>
            <sz val="8"/>
            <color indexed="8"/>
            <rFont val="Times New Roman"/>
            <family val="1"/>
          </rPr>
          <t xml:space="preserve">win98:
</t>
        </r>
        <r>
          <rPr>
            <sz val="8"/>
            <color indexed="8"/>
            <rFont val="Times New Roman"/>
            <family val="1"/>
          </rPr>
          <t xml:space="preserve">Este porcenteje corresponde al uso de la valla para este proyecto, incluyendo el valor de salvamento.
</t>
        </r>
      </text>
    </comment>
    <comment ref="I45" authorId="0" shapeId="0" xr:uid="{00000000-0006-0000-0200-000003000000}">
      <text>
        <r>
          <rPr>
            <b/>
            <sz val="8"/>
            <color indexed="8"/>
            <rFont val="Times New Roman"/>
            <family val="1"/>
          </rPr>
          <t xml:space="preserve">win98:
</t>
        </r>
        <r>
          <rPr>
            <sz val="8"/>
            <color indexed="8"/>
            <rFont val="Times New Roman"/>
            <family val="1"/>
          </rPr>
          <t xml:space="preserve">Digitar el porcentaje de Utilidad antes de IVA.
</t>
        </r>
      </text>
    </comment>
  </commentList>
</comments>
</file>

<file path=xl/sharedStrings.xml><?xml version="1.0" encoding="utf-8"?>
<sst xmlns="http://schemas.openxmlformats.org/spreadsheetml/2006/main" count="2851" uniqueCount="618">
  <si>
    <t>CAPITULO</t>
  </si>
  <si>
    <t>UNIDAD</t>
  </si>
  <si>
    <t>VALOR UNITARIO</t>
  </si>
  <si>
    <t>CANTIDAD</t>
  </si>
  <si>
    <t>VALOR TOTAL</t>
  </si>
  <si>
    <t>M3</t>
  </si>
  <si>
    <t>UND</t>
  </si>
  <si>
    <t>ML</t>
  </si>
  <si>
    <t>M2</t>
  </si>
  <si>
    <t>DESCRIPCION</t>
  </si>
  <si>
    <t>2</t>
  </si>
  <si>
    <t>EQUIPO BASICO (HERRAMIENTA MENOR)</t>
  </si>
  <si>
    <t>DIA</t>
  </si>
  <si>
    <t>HR</t>
  </si>
  <si>
    <t>Profesional Universitario</t>
  </si>
  <si>
    <t>CALCULO DEL A.U.</t>
  </si>
  <si>
    <t>PROYECTO:</t>
  </si>
  <si>
    <r>
      <t xml:space="preserve">Valor estimado de la Obra </t>
    </r>
    <r>
      <rPr>
        <sz val="10"/>
        <color indexed="10"/>
        <rFont val="Arial"/>
        <family val="2"/>
      </rPr>
      <t>(Costo Directo).</t>
    </r>
  </si>
  <si>
    <t>Valor</t>
  </si>
  <si>
    <t xml:space="preserve">Plazo estimado de ejecución </t>
  </si>
  <si>
    <t>Meses</t>
  </si>
  <si>
    <t>TIPO DE GASTO</t>
  </si>
  <si>
    <t>UN</t>
  </si>
  <si>
    <t>CANTIDAD.</t>
  </si>
  <si>
    <t>Destinación</t>
  </si>
  <si>
    <t>VLOR UNITARIO (mes)</t>
  </si>
  <si>
    <t>Factor Prestacional.</t>
  </si>
  <si>
    <t>VLOR TOTAL</t>
  </si>
  <si>
    <t>SUMA</t>
  </si>
  <si>
    <t>PORCENTAJE</t>
  </si>
  <si>
    <t>GASTOS GENERALES.</t>
  </si>
  <si>
    <t>MANO DE OBRA Y GASTOS DE OFICINA</t>
  </si>
  <si>
    <t>Un</t>
  </si>
  <si>
    <t>GASTOS INDIRECTOS.</t>
  </si>
  <si>
    <t>LEGALIZACION.</t>
  </si>
  <si>
    <t>Factor Multiplicador</t>
  </si>
  <si>
    <t>POLIZAS</t>
  </si>
  <si>
    <t>Cumplimiento</t>
  </si>
  <si>
    <t>%</t>
  </si>
  <si>
    <t>Estabilidad</t>
  </si>
  <si>
    <t>Prestaciones Sociales</t>
  </si>
  <si>
    <t>Responsabilidad Civil</t>
  </si>
  <si>
    <t>VALLAS Y SEÑALIZACIÓN</t>
  </si>
  <si>
    <t>Seguridad Industrial</t>
  </si>
  <si>
    <t>Gb</t>
  </si>
  <si>
    <t>IMPUESTOS Y VALORES AGREGADOS</t>
  </si>
  <si>
    <t>TOTAL GASTOS INDIRECTOS DE ADMINISTRACION.</t>
  </si>
  <si>
    <t>UTILIDAD :</t>
  </si>
  <si>
    <t>A.U.</t>
  </si>
  <si>
    <t>Secretaría de Educación</t>
  </si>
  <si>
    <t>Ingeniero y/o Arquitecto Residente con prestaciones de ley</t>
  </si>
  <si>
    <t>Maestro de obra con prestaciones de ley</t>
  </si>
  <si>
    <t>LT</t>
  </si>
  <si>
    <t>KG</t>
  </si>
  <si>
    <t>Código</t>
  </si>
  <si>
    <t>CCE-EICP-FM-14</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</si>
  <si>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</si>
  <si>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</si>
  <si>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</si>
  <si>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</si>
  <si>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ITEM DE PAGO</t>
  </si>
  <si>
    <t xml:space="preserve">ESPECIFICACIONES </t>
  </si>
  <si>
    <t>UND.</t>
  </si>
  <si>
    <t xml:space="preserve">VALOR TOTAL                                </t>
  </si>
  <si>
    <t>GENERAL</t>
  </si>
  <si>
    <t>PARTICULAR</t>
  </si>
  <si>
    <t>Subtotal</t>
  </si>
  <si>
    <t xml:space="preserve">SUBTOTAL OBRAS </t>
  </si>
  <si>
    <t>SUBTOTAL OBRAS (INCLUYE IVA)</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</si>
  <si>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</si>
  <si>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</si>
  <si>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ADMINISTRACION</t>
  </si>
  <si>
    <t>A=</t>
  </si>
  <si>
    <r>
      <rPr>
        <b/>
        <sz val="11"/>
        <rFont val="Arial"/>
        <family val="2"/>
      </rPr>
      <t>NOTA 3:</t>
    </r>
    <r>
      <rPr>
        <sz val="11"/>
        <rFont val="Arial"/>
        <family val="2"/>
      </rPr>
      <t xml:space="preserve"> El A.I.U y su discriminación deben estar en porcentaje (%). </t>
    </r>
  </si>
  <si>
    <t xml:space="preserve">IMPREVISTO
</t>
  </si>
  <si>
    <t>I=</t>
  </si>
  <si>
    <r>
      <t xml:space="preserve">NOTA 4:   </t>
    </r>
    <r>
      <rPr>
        <sz val="11"/>
        <rFont val="Arial"/>
        <family val="2"/>
      </rPr>
      <t>Revisar el Formulario 1 de Presupuesto con sus decimales y tenerlos en cuenta para la presentación de la propuesta económica.</t>
    </r>
  </si>
  <si>
    <t xml:space="preserve">UTILIDAD
</t>
  </si>
  <si>
    <t>U=</t>
  </si>
  <si>
    <r>
      <rPr>
        <b/>
        <sz val="11"/>
        <rFont val="Arial"/>
        <family val="2"/>
      </rPr>
      <t xml:space="preserve">NOTA 5:  </t>
    </r>
    <r>
      <rPr>
        <sz val="11"/>
        <rFont val="Arial"/>
        <family val="2"/>
      </rPr>
      <t>Siguiendo las recomendaciones de la Guía de Colombia Compra Eficiente, presentar la oferta economica en archivo editable (Excel) y en PDF.</t>
    </r>
  </si>
  <si>
    <t>TOTAL A.I.U</t>
  </si>
  <si>
    <t>A.I.U.=</t>
  </si>
  <si>
    <t>TIPO</t>
  </si>
  <si>
    <t>Formulario 1 - Propuesta económica  - Documento tipo de licitación de obra pública  - versión 3</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</si>
  <si>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</si>
  <si>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Nº</t>
  </si>
  <si>
    <t>Formulario 1 - Propuesta económica  - Documento tipo de licitación de obra pública de infraestructura de transporte - versión 3</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</si>
  <si>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</si>
  <si>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</si>
  <si>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</si>
  <si>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ÍTEM DE PAGO</t>
  </si>
  <si>
    <t>DESCRIPCIÓN</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</si>
  <si>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</si>
  <si>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ADMINISTRACIÓN</t>
  </si>
  <si>
    <t>[Ofrecimiento del Proponente]</t>
  </si>
  <si>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</si>
  <si>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</si>
  <si>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</si>
  <si>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</si>
  <si>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</si>
  <si>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</si>
  <si>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</si>
  <si>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</si>
  <si>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</si>
  <si>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</si>
  <si>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</si>
  <si>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</si>
  <si>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</si>
  <si>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</si>
  <si>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</si>
  <si>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</si>
  <si>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I. EQUIPO</t>
  </si>
  <si>
    <t>MARCA</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</si>
  <si>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</si>
  <si>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</si>
  <si>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</si>
  <si>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</si>
  <si>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</si>
  <si>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</si>
  <si>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</si>
  <si>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</si>
  <si>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</si>
  <si>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</si>
  <si>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</si>
  <si>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</si>
  <si>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</si>
  <si>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</si>
  <si>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</si>
  <si>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</si>
  <si>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</si>
  <si>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</si>
  <si>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</si>
  <si>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</si>
  <si>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</si>
  <si>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</si>
  <si>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</si>
  <si>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</si>
  <si>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</si>
  <si>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</si>
  <si>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</si>
  <si>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</si>
  <si>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</si>
  <si>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</si>
  <si>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</si>
  <si>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</si>
  <si>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</si>
  <si>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</si>
  <si>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</si>
  <si>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MOVIMIENTO DE TIERRAS</t>
  </si>
  <si>
    <t>DESAGUES E INSTALACIONES SANITARIAS</t>
  </si>
  <si>
    <t>ADICIONALES ALCALDIA MANIZALES</t>
  </si>
  <si>
    <t>1565</t>
  </si>
  <si>
    <t>ACARREO INTERNO</t>
  </si>
  <si>
    <t>VJE</t>
  </si>
  <si>
    <t>22</t>
  </si>
  <si>
    <t>CUADRILLA AA TIPO 4 (1 OFICIAL + 4 AYUDANTE) (Albañileria)</t>
  </si>
  <si>
    <t>1</t>
  </si>
  <si>
    <t>CUADRILLA AA TIPO 1 (1 OFICIAL + 1 AYUDANTE) (Albañileria)</t>
  </si>
  <si>
    <t>24</t>
  </si>
  <si>
    <t>VOLQUETA  6M3 (CARGUE A MANO)</t>
  </si>
  <si>
    <t>15</t>
  </si>
  <si>
    <t>CUADRILLA AA TIPO 3 (1 OFICIAL + 3 AYUDANTE) (Albañileria)</t>
  </si>
  <si>
    <t>427</t>
  </si>
  <si>
    <t>SIKA-1 IMPERMEABILIZANTE INTEGRAL MORTEROS O SIMILAR.</t>
  </si>
  <si>
    <t>12</t>
  </si>
  <si>
    <t>EQUIPO DE TRANSPORTE</t>
  </si>
  <si>
    <t>21</t>
  </si>
  <si>
    <t>M</t>
  </si>
  <si>
    <t>3</t>
  </si>
  <si>
    <t>8</t>
  </si>
  <si>
    <t>CUADRILLA AA TIPO 2 (1 OFICIAL + 2 AYUDANTE) (Albañileria)</t>
  </si>
  <si>
    <t>36</t>
  </si>
  <si>
    <t>GAL</t>
  </si>
  <si>
    <t>002.001</t>
  </si>
  <si>
    <t>EXCAVACIÓN EN ZANJA - MATERIAL COMÚN - 0.0 A 2.0 M</t>
  </si>
  <si>
    <t>EQUIPO MANEJO DE AGUAS DIFERENTE A AGUAS RESIDUALES</t>
  </si>
  <si>
    <t>ANDAMIO METALICO CERTIFICADO, INCLUYE ESCALERILLA CON BARANDAS Y PLATAFORMAS DE TRABAJO</t>
  </si>
  <si>
    <t>MORTERO 1:4</t>
  </si>
  <si>
    <t>INSTALACIONES HIDRAULICAS</t>
  </si>
  <si>
    <t>007.017</t>
  </si>
  <si>
    <t>SUMINISTRO, TRANSPORTE E INSTALACION PUNTO  AGUA FRIA  1/2" PVC -P ( Incluye accesorios de instalación )</t>
  </si>
  <si>
    <t>REVOQUES-RESANES</t>
  </si>
  <si>
    <t>012.051</t>
  </si>
  <si>
    <t>SUMINISTRO, TRANSPORTE E INSTALACION BOCAPUERTA EN GRANITO FUNDIDO EN SITIO (Incluye destroncada, pulida y brillada + dilataciones en bronce y mortero de nivelación)</t>
  </si>
  <si>
    <t>PINTURA</t>
  </si>
  <si>
    <t>019.001</t>
  </si>
  <si>
    <t>019.014</t>
  </si>
  <si>
    <t>SUMINISTRO, TRANSPORTE E INSTALACION ESTUCO Y VINILO 3 MANOS SOBRE MURO INTERIOR (INCLUYE ESTUCO, 1 MANO EN PINTURA TIPO 2  Y DOS MANOS EN PINTURA TIPO 1, FILOS Y DILATACIONES). COLOR SEGÚN DISEÑO POR M2</t>
  </si>
  <si>
    <t>SUMINISTRO, TRANSPORTE E INSTALACION ESTUCO Y PINTURA TIPO KORAZA O SIMILAR 3 MANOS FACHADAS (INCLUYE ESTUCO, 1 MANO EN PINTURA TIPO 2 Y DOS MANOS EN PINTURA TIPO KORAZA O SIMILAR, FILOS Y DILATACIONES). COLOR SEGÚN DISEÑO.</t>
  </si>
  <si>
    <t>DESMONTES</t>
  </si>
  <si>
    <t>DEMOLICIONES</t>
  </si>
  <si>
    <t>49</t>
  </si>
  <si>
    <t>AGUA LITRO</t>
  </si>
  <si>
    <t>614</t>
  </si>
  <si>
    <t>647</t>
  </si>
  <si>
    <t>825</t>
  </si>
  <si>
    <t>LIMPIADOR REM PVC 760 GRMS. (1/4)</t>
  </si>
  <si>
    <t>SOLDADURA PVC LIQUIDA 1/4</t>
  </si>
  <si>
    <t xml:space="preserve">YEE SANITARIA 2'' </t>
  </si>
  <si>
    <t>CUADRILLA BB TIPO 1 (1 OFICIAL + 1 AYUDANTE) (Instalaciones)</t>
  </si>
  <si>
    <t>528</t>
  </si>
  <si>
    <t>673</t>
  </si>
  <si>
    <t>747</t>
  </si>
  <si>
    <t>ACCESORIOS PVC-P  1/2" ( CODO , UNIÓN Y TAPÓN )</t>
  </si>
  <si>
    <t>TEE PRESION  - 1/2''</t>
  </si>
  <si>
    <t xml:space="preserve">TUBO PRESION RDE 9 PVC 500 PSI  -  1/2" </t>
  </si>
  <si>
    <t>20</t>
  </si>
  <si>
    <t>MORTERO 1:3</t>
  </si>
  <si>
    <t>Valla (2 metros cuadrados en lona)</t>
  </si>
  <si>
    <t>Kevin Andrés Campuzano Quintero</t>
  </si>
  <si>
    <t>1004</t>
  </si>
  <si>
    <t>399</t>
  </si>
  <si>
    <t>1011</t>
  </si>
  <si>
    <t>1050</t>
  </si>
  <si>
    <t>404</t>
  </si>
  <si>
    <t>408</t>
  </si>
  <si>
    <t>409</t>
  </si>
  <si>
    <t>ALFALISTO GRIS O SIMILAR.</t>
  </si>
  <si>
    <t>73</t>
  </si>
  <si>
    <t>74</t>
  </si>
  <si>
    <t>75</t>
  </si>
  <si>
    <t>MARMOLINA (40 KILOS)</t>
  </si>
  <si>
    <t>CENEFA MALLA SQUARE MESH POMPEI MOCCA 30.5 X 5 CM. TIPO ALFA O SIMILAR.</t>
  </si>
  <si>
    <t>CEMENTO BLANCO</t>
  </si>
  <si>
    <t>COLOR MINERAL</t>
  </si>
  <si>
    <t>DILATACION EN BRONCE PC09</t>
  </si>
  <si>
    <t>DESTRONCADORA DE PISOS 10HP</t>
  </si>
  <si>
    <t>PULIDORA PISOS</t>
  </si>
  <si>
    <t>BRILLADORA</t>
  </si>
  <si>
    <t>BUL</t>
  </si>
  <si>
    <t>1043</t>
  </si>
  <si>
    <t>BOQUILLA ALFACOLOR 1-3</t>
  </si>
  <si>
    <t>1953</t>
  </si>
  <si>
    <t>1090</t>
  </si>
  <si>
    <t>1020</t>
  </si>
  <si>
    <t>1952</t>
  </si>
  <si>
    <t>DILATACIÓN EN PVC</t>
  </si>
  <si>
    <t>CERA POLIMERICA</t>
  </si>
  <si>
    <t>TINTILLA SELLADORA - TIPO MINWAX O SIMILAR.</t>
  </si>
  <si>
    <t>ÁCIDO OXÁLICO</t>
  </si>
  <si>
    <t>1008</t>
  </si>
  <si>
    <t>1021</t>
  </si>
  <si>
    <t>417</t>
  </si>
  <si>
    <t>ESTUCO PARA INTERIORES - TIPO PINTUCO REF. 117060 O SIMILAR.</t>
  </si>
  <si>
    <t>INTERVINILO - TIPO PINTUCO REF. SEGÚN COLOR DISEÑO O SIMILAR</t>
  </si>
  <si>
    <t xml:space="preserve">VINILTEX - TIPO PINTUCO REF. SEGÚN COLOR DISEÑO O SIMILAR. </t>
  </si>
  <si>
    <t>PABMERIL PLIEGO 9" X 11"</t>
  </si>
  <si>
    <t>CUADRILLA CC TIPO 1 (1 OFICIAL + 1 AYUDANTE) (Pintura)</t>
  </si>
  <si>
    <t>1003</t>
  </si>
  <si>
    <t>ESTUCO PARA EXTERIORES - TIPO PINTUCO REF. 27060 O SIMILAR.</t>
  </si>
  <si>
    <t>1009</t>
  </si>
  <si>
    <t>KORAZA - TIPO PINTUCO REF. 2650 SEGÚN COLOR DISEÑO O SIMILAR</t>
  </si>
  <si>
    <t>1002</t>
  </si>
  <si>
    <t>ESMALTE SINTETICO PINTULUX - TIPO PINTUCO REF. SEGÚN COLOR DISEÑO O SIMILAR</t>
  </si>
  <si>
    <t>029.003</t>
  </si>
  <si>
    <t>029.004</t>
  </si>
  <si>
    <t>DEMOLICION ENCHAPE DE PISOS (INCLUYE RETIRO)</t>
  </si>
  <si>
    <t xml:space="preserve">DEMOLICION ENCHAPE DE MUROS </t>
  </si>
  <si>
    <t>A.U OBRA</t>
  </si>
  <si>
    <r>
      <rPr>
        <b/>
        <sz val="11"/>
        <rFont val="Arial"/>
        <family val="2"/>
      </rPr>
      <t xml:space="preserve">NOTA 1: </t>
    </r>
    <r>
      <rPr>
        <sz val="11"/>
        <rFont val="Arial"/>
        <family val="2"/>
      </rPr>
      <t xml:space="preserve"> Se debe tener en cuenta que el PRECIO UNITARIO incluye el valor de A.U. </t>
    </r>
  </si>
  <si>
    <r>
      <rPr>
        <b/>
        <sz val="11"/>
        <rFont val="Arial"/>
        <family val="2"/>
      </rPr>
      <t>NOTA 3:</t>
    </r>
    <r>
      <rPr>
        <sz val="11"/>
        <rFont val="Arial"/>
        <family val="2"/>
      </rPr>
      <t xml:space="preserve"> El A.U y su discriminación deben estar en porcentaje (%). </t>
    </r>
  </si>
  <si>
    <t>SUBTOTAL OBRAS (INCLUYE AU)</t>
  </si>
  <si>
    <t>VALOR TOTAL INCLUYE AU</t>
  </si>
  <si>
    <t>010.026</t>
  </si>
  <si>
    <t xml:space="preserve">RECORRIDO DE CUBIERTA </t>
  </si>
  <si>
    <t>CUBIERTAS</t>
  </si>
  <si>
    <t>032.027</t>
  </si>
  <si>
    <t>SUMINISTRO, TRANSPORTE E INSTALACION TEJA ONDULADA FIBROCEMENTO PERFIL 7</t>
  </si>
  <si>
    <t>19</t>
  </si>
  <si>
    <t>TALADRO ROTO PERCUTOR</t>
  </si>
  <si>
    <t>ROLLO</t>
  </si>
  <si>
    <t>300</t>
  </si>
  <si>
    <t>TORNILLO AUTOPERFORANTE TEJA TIPO CINDU O SIMILAR. DIAM. 3/4".</t>
  </si>
  <si>
    <t>307</t>
  </si>
  <si>
    <t>TEJA ONDULADA FIBROCEMENTO PERFIL 7 0,92x1,52M</t>
  </si>
  <si>
    <t>966</t>
  </si>
  <si>
    <t>TELERA 20 CM X 4 CM X 3 M.</t>
  </si>
  <si>
    <t>79</t>
  </si>
  <si>
    <t>ANDAMIO COLGANTE</t>
  </si>
  <si>
    <t>9</t>
  </si>
  <si>
    <t>CUADRILLA BB TIPO 2 (1 OFICIAL + 2 AYUDANTE) (Instalaciones)</t>
  </si>
  <si>
    <t>003.015</t>
  </si>
  <si>
    <t>576</t>
  </si>
  <si>
    <t>CODO 90° 1/4 CXC SANITARIO 4''</t>
  </si>
  <si>
    <t>754</t>
  </si>
  <si>
    <t xml:space="preserve">TUBO PVC SANITARIO 4" </t>
  </si>
  <si>
    <t>827</t>
  </si>
  <si>
    <t xml:space="preserve">YEE SANITARIA 4'' </t>
  </si>
  <si>
    <t>003.018</t>
  </si>
  <si>
    <t>SUMINISTRO, TRANSPORTE E INSTALACION PUNTO REVENTILACION PVC   2" (Incluye accesorios de  conexión unión y yee ).</t>
  </si>
  <si>
    <t>SUMINISTRO, TRANSPORTE E INSTALACION PUNTO DESAGUE PVC   4" Aparatos sanitarios (INCLUYE CODO, YEE Y ACCESORIOS)</t>
  </si>
  <si>
    <t>578</t>
  </si>
  <si>
    <t>CODO 90° 1/4 CXE SANITARIO 2''</t>
  </si>
  <si>
    <t>749</t>
  </si>
  <si>
    <t>TUBO PVC A.LL-VENTILACION  2''</t>
  </si>
  <si>
    <t>793</t>
  </si>
  <si>
    <t>UNION SANITARIA  2'' PVC</t>
  </si>
  <si>
    <t>521</t>
  </si>
  <si>
    <t>ABRAZADERA EN ACERO</t>
  </si>
  <si>
    <t>795</t>
  </si>
  <si>
    <t>UNION SANITARIA 4" PVC</t>
  </si>
  <si>
    <t>003.068</t>
  </si>
  <si>
    <t>635</t>
  </si>
  <si>
    <t>REJILLA ALUMINIO 4" X 3" CON SOSCO TRADICIONAL - REF. H-4"X3" TIPO COLREJILLAS O SIMILAR</t>
  </si>
  <si>
    <t xml:space="preserve">SUMINISTRO, TRANSPORTE E INSTALACION REJILLA  Aluminio  4" x 3" con Sosco Tradicional - Ref. H-4"x3"  </t>
  </si>
  <si>
    <t>TOTAL</t>
  </si>
  <si>
    <t>ID</t>
  </si>
  <si>
    <t>COSTO UNITARIO</t>
  </si>
  <si>
    <t>SUBTOTAL</t>
  </si>
  <si>
    <t/>
  </si>
  <si>
    <t>HERRAMIENTAS</t>
  </si>
  <si>
    <t>EQUIPOS</t>
  </si>
  <si>
    <t>CUADRILLA</t>
  </si>
  <si>
    <t>INSUMOS</t>
  </si>
  <si>
    <t>ANALISIS BASICO</t>
  </si>
  <si>
    <t>007.023</t>
  </si>
  <si>
    <t>SUMINISTRO, TRANSPORTE E INSTALACION TUBERIA PVC-P RDE 11 3/4" Agua Fria ( Red de suministro ) Incluye accesorios</t>
  </si>
  <si>
    <t>532</t>
  </si>
  <si>
    <t>ACCESORIOS PVC-P  3/4" ( CODO , UNIÓN Y TAPÓN )</t>
  </si>
  <si>
    <t>742</t>
  </si>
  <si>
    <t>TUBO PRESION RDE 21 PVC  200 PSI  -  3/4"</t>
  </si>
  <si>
    <t>007.024</t>
  </si>
  <si>
    <t>SUMINISTRO, TRANSPORTE E INSTALACION TUBERIA PVC-P  RDE 21  1" Agua Fria  (Red de suministro)  Incluye accesorios</t>
  </si>
  <si>
    <t>527</t>
  </si>
  <si>
    <t>ACCESORIOS PVC-P  1" ( CODO, UNIÓN Y TAPÓN )</t>
  </si>
  <si>
    <t>743</t>
  </si>
  <si>
    <t xml:space="preserve">TUBO PRESION RDE 21 PVC 200 PSI  -  1" </t>
  </si>
  <si>
    <t>009.012</t>
  </si>
  <si>
    <t>SUMINISTRO,TRANSPORTE E INSTALACION REVOQUE LISO COLUMNAS Y VIGAS AEREAS UNA (1) CARA 1:3 IMPERMEABILIZADO (INCLUYE FILOS Y DILATACIONES)</t>
  </si>
  <si>
    <t>012.010</t>
  </si>
  <si>
    <t>SUMINISTRO, TRANSPORTE E INSTALACION BALDOSA GRANO DE MARMOL PCL 5  PERLATO CLARO TERRAZO TIPO ALFA O SIMILAR. (INCLUYE DESTRONCADA, PULIDA, BRILLADA, MORTERO DE NIVELACIÓN Y DILATACIÓN EN PVC).</t>
  </si>
  <si>
    <t>1041</t>
  </si>
  <si>
    <t>BALDOSA GRANO TRADICIONAL PERLATO CLARO PCL 5 TERRAZO TIPO ALFA O SIMILAR</t>
  </si>
  <si>
    <t>029.017</t>
  </si>
  <si>
    <t xml:space="preserve">DEMOLICION MORTEROS Y REVOQUE </t>
  </si>
  <si>
    <t>CIELO RASOS</t>
  </si>
  <si>
    <t>Estampilla Pro - Adulto mayor</t>
  </si>
  <si>
    <t>Estampillas Pro - Universidad.</t>
  </si>
  <si>
    <t>Gasto bancarios4x1000 y retiros</t>
  </si>
  <si>
    <t>Industria y Comercio 5 x 1.000 sobre valor total</t>
  </si>
  <si>
    <t>Trabajador social</t>
  </si>
  <si>
    <t>OBRA CIVIL</t>
  </si>
  <si>
    <t>003.004</t>
  </si>
  <si>
    <t>SUMINISTRO, TRANSPORTE E INSTALACION CAJA DE INSPECCION  0.80*0.80*1 m.  (Incluye, ladrillo común, marco en angulo 2 1/2 x 2 1/2 * 3/16" y tapa reforzada en platina de 3 * 3/16" con parrilla en varilla 3/8 cada 10 cm.).</t>
  </si>
  <si>
    <t>199</t>
  </si>
  <si>
    <t>MARCO Y TAPA CAJA INSPECCION DE 0.80 X 0.80 CM. (MARCO EN ANGULO 2 1/2 X 2 1/2 * 3/16", TAPA REFORZADA EN PLATINA DE 3 * 3/16" CON PARRILLA EN VARILLA 3/8 CADA 10 CM.).</t>
  </si>
  <si>
    <t>944</t>
  </si>
  <si>
    <t>LADRILLO TOLETE RECOCIDO (24,5 X 12 X 6 CM)</t>
  </si>
  <si>
    <t>23</t>
  </si>
  <si>
    <t>CUADRILLA BB TIPO 4 (1 OFICIAL + 4 AYUDANTE) (Instalaciones)</t>
  </si>
  <si>
    <t>4</t>
  </si>
  <si>
    <t>CONCRETO 2500 psi - 17.5 Mpa</t>
  </si>
  <si>
    <t>003.011</t>
  </si>
  <si>
    <t>SUMINISTRO, TRANSPORTE E INSTALACION BAJANTE AGUAS LLUVIAS  PVC   4"   (INCLUYE CODO, UNION Y ACCESORIOS DE FIJACION)</t>
  </si>
  <si>
    <t>751</t>
  </si>
  <si>
    <t xml:space="preserve">TUBO PVC A.LL-VENTILACION  4'' </t>
  </si>
  <si>
    <t>007.010</t>
  </si>
  <si>
    <t>SUMINISTRO, TRANSPORTE E INSTALACION CHEQUE Roscado Red White 3/4"  (Incluye Universal).</t>
  </si>
  <si>
    <t>564</t>
  </si>
  <si>
    <t>CHEQUE TIPO R&amp;W ROSCADO  3/4" REF. 236 O SIMILAR</t>
  </si>
  <si>
    <t>569</t>
  </si>
  <si>
    <t>CINTA TEFLON 10 M 1/2"</t>
  </si>
  <si>
    <t>807</t>
  </si>
  <si>
    <t>UNIVERSAL ACERO GALVANIZADO - 3/4"</t>
  </si>
  <si>
    <t>009.005</t>
  </si>
  <si>
    <t>SUMINISTRO,TRANSPORTE E INSTALACION REVOQUE LISO MUROS 1:3  IMPERMEABILIZADO (INCLUYE FILOS Y DILATACIONES) PARA ALTURAS MENORES A 3 METROS</t>
  </si>
  <si>
    <t>1022</t>
  </si>
  <si>
    <t xml:space="preserve">WASH PRIMER COMPONENTE A - 1/4 GL  REF. 509A O SIMILAR </t>
  </si>
  <si>
    <t>1023</t>
  </si>
  <si>
    <t>WASH PRIMER COMPONENTE B - 1/4 GL REF. 509B O SIMILAR</t>
  </si>
  <si>
    <t>167</t>
  </si>
  <si>
    <t>LAMINA GALVANIZADA CAL. 20 TIPO ACESCO O SIMILAR.</t>
  </si>
  <si>
    <t>11</t>
  </si>
  <si>
    <t>CUADRILLA DD TIPO 2 (1 OFICIAL + 2 AYUDANTE) (Carpinteria)</t>
  </si>
  <si>
    <t>010.020</t>
  </si>
  <si>
    <t>SUMINISTRO, TRANSPORTE E INSTALACION CANAL EN LAMINA GALVANIZADA CAL .20 D/ 0.82 M. (SUMINISTRO E INSTALACIÓN CON WASH PRIMER + ESMALTE + ANCLAJE A MURO + SILICONA)</t>
  </si>
  <si>
    <t>207</t>
  </si>
  <si>
    <t>PLATINA SOPORTE 3 MM</t>
  </si>
  <si>
    <t>434</t>
  </si>
  <si>
    <t>SOLDADURA DE ESTAÑO 60-40 250GR 1/16"  (1.6 MM)</t>
  </si>
  <si>
    <t>82</t>
  </si>
  <si>
    <t>ESCALERA CERTIFICADA</t>
  </si>
  <si>
    <t>012.036</t>
  </si>
  <si>
    <t>SUMINISTRO, TRANSPORTE E INSTALACION GUARDAESCOBA RECTO Baldosa Grano de Marmol P5  Payande  30 x 7.2 cm. Tipo Alfa o Similar. Fondo Blanco (Incluye boquilla.)</t>
  </si>
  <si>
    <t>1044</t>
  </si>
  <si>
    <t>BOQUILLA ALFACOLOR 3-15</t>
  </si>
  <si>
    <t>1084</t>
  </si>
  <si>
    <t>ZOCALO GRANO DE MARMOL PAYANDE P5 DE 30 X 7.2 CM. TIPO ALFA O SIMILAR. FONDO BLANCO</t>
  </si>
  <si>
    <t>019.024</t>
  </si>
  <si>
    <t>DEMARCACION DE LAS DIFERENTES CANCHAS (LINEAS PARA FUTBOL SALA, VOLEIBOL, BALONMANO Y BALONCESTO). INCLUYE EQUIPO Y ACTIVIDADES NECESARIAS PARA SU EJECUCION</t>
  </si>
  <si>
    <t>1014</t>
  </si>
  <si>
    <t>PINTURA ACRILICA A BASE SOLVENTES DE RAPIDO SECAMIENTO TIPO PINTUCO (ACRILICO MANTENIMIENTO) O SIMILAR - COLORES: BLANCO, AMARILLO O NEGRO SEGÚN DISEÑO.</t>
  </si>
  <si>
    <t>327</t>
  </si>
  <si>
    <t>CINTA PAPEL ( 75 M.)</t>
  </si>
  <si>
    <t>019.033</t>
  </si>
  <si>
    <t>SUMINISTRO, TRANSPORTE E INSTALACION PINTURA ESMALTE PARA PUERTAS, REJAS, VENTANAS Y DEMÁS SUPERFICIES METÁLICAS. INCLUYE FILOS Y DILATACIONES. INCLUYE ANDAMIOS CERTIFICADOS PARA TRABAJO EN ALTURAS</t>
  </si>
  <si>
    <t>019.034</t>
  </si>
  <si>
    <t>SUMINISTRO, TRANSPORTE E INSTALACION PINTURA ESMALTE PARA PASAMANOS Y ZÓCALOS. INCLUYE FILOS Y DILATACIONES</t>
  </si>
  <si>
    <t>019.039</t>
  </si>
  <si>
    <t>SUMINISTRO, TRANSPORTE E INSTALACION PINTURA ESMALTE PARA FLANCHES Y CORTAGOTERAS. INCLUYE FILOS Y DILATACIONES</t>
  </si>
  <si>
    <t>028.014</t>
  </si>
  <si>
    <t xml:space="preserve">DESMONTE DE CANALES Y BAJANTES </t>
  </si>
  <si>
    <t>029.074</t>
  </si>
  <si>
    <t>DEMOLICION MURO MAMPOSTERIA DE LADRILLO O BLOQUE</t>
  </si>
  <si>
    <t>Plan de Salud ocupacional y seguridad industrial</t>
  </si>
  <si>
    <t>Sistema de gestion ambiental</t>
  </si>
  <si>
    <t>Mes</t>
  </si>
  <si>
    <t xml:space="preserve">Estampilla Procultura </t>
  </si>
  <si>
    <t xml:space="preserve">Estampilla para la Justicia Familiar </t>
  </si>
  <si>
    <t xml:space="preserve">Tasa Pro deportes y recreación </t>
  </si>
  <si>
    <t xml:space="preserve">Contribución especial </t>
  </si>
  <si>
    <t>Profesional SG-SST</t>
  </si>
  <si>
    <t>Plan de calidad</t>
  </si>
  <si>
    <t>MEJORAMIENTO DE LA PLANTA FÍSICA DEL ESTABLECIMIENTO EDUCATIVO OFICIAL: PRESUPUESTO OBRA CIVIL - LA VIOLETA SEDE PRINCIPAL, DE PROPIEDAD DEL MUNICIPIO DE MANIZALES</t>
  </si>
  <si>
    <t>ANÁLISIS DE PRECIOS UNITARIOS</t>
  </si>
  <si>
    <t>ADICIONALES AGUAS MANIZALES</t>
  </si>
  <si>
    <t>033.097</t>
  </si>
  <si>
    <t>SUMINISTRO, TRANSPORTE E INSTALACION RELLENO COMPACTADO CON MATERIAL DE OBRA</t>
  </si>
  <si>
    <t>033.098</t>
  </si>
  <si>
    <t>SUMINISTRO, TRANSPORTE E INSTALACION FILTRO DRENAJE (0.60 x 0.60 m) Tubo Drenaje Corrugado de 4" con filtro. Incluye relleno piedra filtro, Geotextil NT 3000</t>
  </si>
  <si>
    <t>028.008</t>
  </si>
  <si>
    <t>DESMONTE CIELO RASO (INCLUYE RETIRO)</t>
  </si>
  <si>
    <t>47</t>
  </si>
  <si>
    <t>957</t>
  </si>
  <si>
    <t>LISTON 2 X 4</t>
  </si>
  <si>
    <t>425</t>
  </si>
  <si>
    <t>PUNTILLA CON CABEZA 2"</t>
  </si>
  <si>
    <t>LB</t>
  </si>
  <si>
    <t>ALAMBRE NEGRO NO. 18</t>
  </si>
  <si>
    <t>MALLA ELECTROSOLDADA XX-131 5.0MM C/ 15 CM EN AMBOS SENTIDOS</t>
  </si>
  <si>
    <t>VIBRADOR A GASOLINA</t>
  </si>
  <si>
    <t>5</t>
  </si>
  <si>
    <t>CONCRETO 3000 psi - 21 Mpa</t>
  </si>
  <si>
    <t>VIBROCOMPACTADOR TIPO RANA</t>
  </si>
  <si>
    <t>48</t>
  </si>
  <si>
    <t>PIEDRA FILTRO</t>
  </si>
  <si>
    <t>513</t>
  </si>
  <si>
    <t>GEOTEXTIL NO TEJIDO  3000 PAVCO O SIMILAR</t>
  </si>
  <si>
    <t>731</t>
  </si>
  <si>
    <t>TUBO DRENAJE  CORRUGADA PVC 100 MM ( 4") SIN FILTRO. TRAMOS DE 5 M. CON UNIÓN.</t>
  </si>
  <si>
    <t>16</t>
  </si>
  <si>
    <t>CUADRILLA BB TIPO 3 (1 OFICIAL + 3 AYUDANTE) (Instalaciones)</t>
  </si>
  <si>
    <t>Elaboro: Arq. Felipe Andres Arias Gomez</t>
  </si>
  <si>
    <t>Secretaría de Educación-Infraestructura</t>
  </si>
  <si>
    <t>MEJORAMIENTO DE LA PLANTA FÍSICA DEL ESTABLECIMIENTO EDUCATIVO OFICIAL: PRESUPUESTO OBRA CIVIL -INSTITUCION EDUCATIVA MALTERIA SEDE PRINCIPAL, DE PROPIEDAD DEL MUNICIPIO DE MANIZALES</t>
  </si>
  <si>
    <t>PRELIMINARES</t>
  </si>
  <si>
    <t>001.049</t>
  </si>
  <si>
    <t>SUMINISTRO, TRANSPORTE E INSTALACIÓN CERRAMIENTO EN YUTE H= 2 M</t>
  </si>
  <si>
    <t>001.054</t>
  </si>
  <si>
    <t>SUMINISTRO, TRANSPORTE E INSTALACION SEÑAL PREVENTIVA, REGLAMENTARIA E INFORMATIVA</t>
  </si>
  <si>
    <t>447</t>
  </si>
  <si>
    <t>FIBRA PARA CERRAMIENTO PROVISIONAL H=2,1M</t>
  </si>
  <si>
    <t>986</t>
  </si>
  <si>
    <t>GUADUA CEPA DE 5 VARAS</t>
  </si>
  <si>
    <t>450</t>
  </si>
  <si>
    <t>SEÑAL PREVENTIVA, REGLAMENTARIA E INFORMATIVA (2 USOS)</t>
  </si>
  <si>
    <t>111</t>
  </si>
  <si>
    <t>FORMALETA PARA BASE DE CONCRETO</t>
  </si>
  <si>
    <t>002.050</t>
  </si>
  <si>
    <t>RELLENO EN MATERIAL SELECCIONADO PROVENIENTE DE LA EXCAVACION (CANGURO)</t>
  </si>
  <si>
    <t>CANGURO</t>
  </si>
  <si>
    <t>002.056</t>
  </si>
  <si>
    <t>RETIRO DE ESCOMBROS EN VOLQUETA, CARGUE MANUAL</t>
  </si>
  <si>
    <t>003.014</t>
  </si>
  <si>
    <t>SUMINISTRO, TRANSPORTE E INSTALACION PUNTO DESAGUE PVC   3"  Aparatos sanitarios y desagues  (INCLUYE CODO, YEE Y ACCESORIOS)</t>
  </si>
  <si>
    <t>575</t>
  </si>
  <si>
    <t>CODO 90° 1/4 CXC SANITARIO 3''</t>
  </si>
  <si>
    <t>753</t>
  </si>
  <si>
    <t>TUBO PVC SANITARIO 3"</t>
  </si>
  <si>
    <t>826</t>
  </si>
  <si>
    <t xml:space="preserve">YEE SANITARIA 3'' </t>
  </si>
  <si>
    <t>003.029</t>
  </si>
  <si>
    <t>SUMINISTRO, TRANSPORTE E INSTALACION TUBERIA PVC-S  4" (RED SANITARIA, INCLUYE ACCESORIOS)</t>
  </si>
  <si>
    <t>003.030</t>
  </si>
  <si>
    <t>SUMINISTRO, TRANSPORTE E INSTALACION TUBERIA PVC-S  6" (RED SANITARIA, INCLUYE ACCESORIOS)</t>
  </si>
  <si>
    <t>407</t>
  </si>
  <si>
    <t>CINTA DE DEMARCACION * 10 M.</t>
  </si>
  <si>
    <t>755</t>
  </si>
  <si>
    <t xml:space="preserve">TUBO PVC SANITARIO 6" </t>
  </si>
  <si>
    <t>796</t>
  </si>
  <si>
    <t>UNION SANITARIA 6" PVC</t>
  </si>
  <si>
    <t>004.013</t>
  </si>
  <si>
    <t>SUMINISTRO, TRANSPORTE E INSTALACION AFIRMADO COMPACTADO PARA ESTRUCTURAS</t>
  </si>
  <si>
    <t>50</t>
  </si>
  <si>
    <t>AFIRMADO NORMA INVIAS</t>
  </si>
  <si>
    <t>005.006</t>
  </si>
  <si>
    <t>SUMINISTRO, TRANSPORTE E INSTALACION MALLA ELECTROSOLDADA XX-131  5.0MM C/ 15 CM EN AMBOS SENTIDOS (INCLUYE ALAMBRE NEGRO, COLOCACIÓN Y TRASLAPO).</t>
  </si>
  <si>
    <t>005.011</t>
  </si>
  <si>
    <t xml:space="preserve">SUMINISTRO, TRANSPORTE E INSTALACION PLACA CONTRAPISO CONCRETO 3000 PSI  E=0.10 m </t>
  </si>
  <si>
    <t>979</t>
  </si>
  <si>
    <t>TABLA CHAPA ORDINARIO 30 CM X 2 CM X 3 M.</t>
  </si>
  <si>
    <t>CUADRILLA AA TIPO 6 (1 OFICIAL + 6 AYUDANTE) (Albañileria)</t>
  </si>
  <si>
    <t>005.056</t>
  </si>
  <si>
    <t>SUMINISTRO, TRANSPORTE E INSTALACION JUNTA DE DILATACION PARA PLACA CONTRAPISO (Inlcuye sellante)</t>
  </si>
  <si>
    <t>432</t>
  </si>
  <si>
    <t>SIKAFLEX PRO 3 WF TUBO 600 CC O SIMILAR.</t>
  </si>
  <si>
    <t>006.001</t>
  </si>
  <si>
    <t>SUMINISTRO, TRANSPORTE E INSTALACION MURO EN BLOQUE Nº4  Arcilla 33*23*9 cm.</t>
  </si>
  <si>
    <t>951</t>
  </si>
  <si>
    <t xml:space="preserve">BLOQUE  Nº 4 ARCILLA </t>
  </si>
  <si>
    <t>006.019</t>
  </si>
  <si>
    <t>SUMINISTRO, TRANSPORTE E INSTALACIÓN A TODO COSTO DE MURO EN SUPERBOARD 8 MM PINTADO Y TERMINADO (DOS CARAS). INCLUYE PERFILERÍA Y TODO LO NECESARIO PARA SU CORRECTA INSTALACIÓN</t>
  </si>
  <si>
    <t>1916</t>
  </si>
  <si>
    <t>006.030</t>
  </si>
  <si>
    <t>SUMINISTRO, TRANSPORTE E INSTALACION ANCLAJE EPOXICO 1/2" x 8" (Incluye perforación y adhesivo epóxico)</t>
  </si>
  <si>
    <t>ACERO 60.000 PSI</t>
  </si>
  <si>
    <t>402</t>
  </si>
  <si>
    <t>BROCA PARA MURO 5/8" X 8"</t>
  </si>
  <si>
    <t>420</t>
  </si>
  <si>
    <t>PISTOLA INYECTOR PARA EPOXICO</t>
  </si>
  <si>
    <t>428</t>
  </si>
  <si>
    <t>SIKADUR -42  ANCLAJE O SIMILAR.</t>
  </si>
  <si>
    <t>006.031</t>
  </si>
  <si>
    <t>SUMINISTRO, TRANSPORTE E INSTALACION ANCLAJE EPOXICO 3/8" L=15 CM (INCLUYE PERFORACIÓN Y ADHESIVO EPÓXICO)</t>
  </si>
  <si>
    <t>500</t>
  </si>
  <si>
    <t>BROCA 1/2*21 HILTI</t>
  </si>
  <si>
    <t>14</t>
  </si>
  <si>
    <t xml:space="preserve">VARILLA LISA 3/8" </t>
  </si>
  <si>
    <t>007.116</t>
  </si>
  <si>
    <t>SUMINISTRO, TRANSPORTE E INSTALACION LAVAMANOS DE EMPOTRAR LINEA SAN LORENZO COLOR BLANCO DE CORONA REF: O19001001 O SIMILAR. (INCLUYE ELEMENTOS DE GRIFERÍA PARA INSTALACIÓN).</t>
  </si>
  <si>
    <t>1873</t>
  </si>
  <si>
    <t>LAVAMANOS DE EMPOTRAR LINEA SAN LORENZO COLOR BLANCO DE CORONA REF: O19001001 O SIMILAR.</t>
  </si>
  <si>
    <t>1871</t>
  </si>
  <si>
    <t>ACCESORIOS GENERALES DE INSTALACIÓN</t>
  </si>
  <si>
    <t>GLB</t>
  </si>
  <si>
    <t>011.001</t>
  </si>
  <si>
    <t>SUMINISTRO, TRANSPORTE E INSTALACIÓN A TODO COSTO DE CIELO RASO EN SUPERBOARD 6 MM JUNTA PERDIDA PINTADO Y TERMINADO. INCLUYE PERFILERÍA, ANCLAJES Y TODO LO NECESARIO PARA SU CORRECTA INSTALACIÓN</t>
  </si>
  <si>
    <t>1919</t>
  </si>
  <si>
    <t>013.001</t>
  </si>
  <si>
    <t>SUMINISTRO, TRANSPORTE E INSTALACION CERAMICA PARED POMPEI TIPO ALFA O SIMILAR. COLOR CORAL O SHELL SEGÚN DISEÑO (INCLUYE BOQUILLA COLOR Y WIN.). INCLUYE MORTERO DE PEGA Y/O NIVELACIÓN.</t>
  </si>
  <si>
    <t>1054</t>
  </si>
  <si>
    <t>CERAMICA PARED POMPEI. TIPO ALFA O SIMILAR. COLOR CORAL O SHELL</t>
  </si>
  <si>
    <t>398</t>
  </si>
  <si>
    <t>ALFALISTO BLANCO O SIMILAR</t>
  </si>
  <si>
    <t>440</t>
  </si>
  <si>
    <t>WIN PLASTICO</t>
  </si>
  <si>
    <t>013.060</t>
  </si>
  <si>
    <t xml:space="preserve">SUMINISTRO, TRANSPORTE E INSTALACION LLAVE TERMINAL MANGUERA 1/2"  </t>
  </si>
  <si>
    <t>416</t>
  </si>
  <si>
    <t>LLAVE TERMINAL MANGUERA 1/2"</t>
  </si>
  <si>
    <t>014.001</t>
  </si>
  <si>
    <t>SUMINISTRO, TRANSPORTE E INSTALACION  ESPEJO  4 MM. FLOTADO BISELADO Y SIN MARCO. (INCLUYE LOS ELEMENTOS DE FIJACIÓN AL MURO).</t>
  </si>
  <si>
    <t>129</t>
  </si>
  <si>
    <t>SUMINISTRO E INSTALACION DE ESPEJO   4 MM. BISELADO Y PULIDO EN CUATRO LADOS. (INCLUYE ELEMENTOS DE FIJACIÓN AL MURO).</t>
  </si>
  <si>
    <t>015.003</t>
  </si>
  <si>
    <t>SUMINISTRO, TRANSPORTE E INSTALACION SANITARIO TIPO AVANTI COLOR BLANCO CORONA O SIMILAR. CONJUNTO SANITARIO QUE INCLUYE SANITARIO, TAPA, TANQUE, GRIFERIA, ACCESORIOS DE CONEXIÓN E INSTALACIÓN.</t>
  </si>
  <si>
    <t>65</t>
  </si>
  <si>
    <t>CONJUNTO SANITARIO TIPO ACUACER COLOR BLANCO DE CORONA O SIMILAR (INCLUYE SANITARIO, TAPA, TANQUE, GRIFERIA, ACCESORIOS DE CONEXIÓN E INSTALACIÓN.)</t>
  </si>
  <si>
    <t>015.013</t>
  </si>
  <si>
    <t>SUMINISTRO, TRANSPORTE E INSTALACION LAVAMANOS SOBREPONER Linea MARSELLA Color Blanco Ref. 13011000 Tipo Corona o Similar. (Incluye conjunto griferia tipo galaxia 8" o similar, desagüe automatico, sifón botella, grapas 2 und, acople).</t>
  </si>
  <si>
    <t>536</t>
  </si>
  <si>
    <t>ACOPLE 1/2"  PARA LAVAMANOS EN ACERO DE 40 CM.</t>
  </si>
  <si>
    <t>62</t>
  </si>
  <si>
    <t>CONJUNTO GRIFERIA LAVAMANOS CROMADA 8" GALAXIA TIPO GRIVAL  O SIMILAR ( MEZCLADOR CIERRE COMPRESIÓN, DESAGUE AUTOMATICO, SIFÓN BOTELLA, GRAPAS 2 UND.</t>
  </si>
  <si>
    <t>LAVAMANOS SOBREPONER LINEA MARSELLA COLOR BLANCO DE CORONA REF. .13011000 O SIMILAR.</t>
  </si>
  <si>
    <t>015.014</t>
  </si>
  <si>
    <t>SUMINISTRO, TRANSPORTE E INSTALACION GRIFERIA Mezclador LAVAMANOS 8" GALAXIA Ref. 501800001 Tipo Grival o Similar. (Incluye desague, sifón, grapas e instalación).</t>
  </si>
  <si>
    <t>021.053</t>
  </si>
  <si>
    <t>SUMINISTRO, TRANSPORTE E INSTALACIÓN DE CERRAMIENTO EN TUBERÍA GALVANIZADA PARA CERRAMIENTO Ø 2", MURO EN CONCRETO A LA VISTA E= 0,12M H= 0,4M CON MORTERO DE REVOQUE IMPERMEABILIZADO, MALLA ESLABONADA CA. 10  OJO 2"X2", VIGA EN CONCRETO REFORZADO 0.3 X 0.4. ALTURA CERRAMIENTO= 6,0 M (INCLUYE FORMALETA, ACERO DE REFUERZO, CASTILLO EN ACERO PARA VIGUETAS, MALLA ELECTROSOLDADA M-188 Q-5 D = 6,00 MM 15 X 15 CM, CONCRETO PISA MALLA Y MORTERO DE NIVELACIÓN)</t>
  </si>
  <si>
    <t>1637</t>
  </si>
  <si>
    <t>MALLA ESLABONADA CAL. 10 2" X 2"</t>
  </si>
  <si>
    <t xml:space="preserve">GRAFIL 5.5 MM </t>
  </si>
  <si>
    <t>240</t>
  </si>
  <si>
    <t>ANGULO 1-1/2"1-1/2"*3/16"</t>
  </si>
  <si>
    <t>10</t>
  </si>
  <si>
    <t>MALLA ELECTROSOLDADA M-188. Q-5  6.0MM  15 X 15CM.</t>
  </si>
  <si>
    <t>435</t>
  </si>
  <si>
    <t>SOLDADURA ELECTRICA TIPO WESTARCO SUPER E- 6013  DE 1/8 O SIMILAR.</t>
  </si>
  <si>
    <t>1001</t>
  </si>
  <si>
    <t>ANTICORROSIVO PREMIUM - TIPO PINTUCO REF. 513 O SIMILAR</t>
  </si>
  <si>
    <t>936</t>
  </si>
  <si>
    <t>TUBERIA GALVANIZADA 2" CAL 16</t>
  </si>
  <si>
    <t>59</t>
  </si>
  <si>
    <t>EQUIPO DE SOLDADURA</t>
  </si>
  <si>
    <t>18</t>
  </si>
  <si>
    <t>CUADRILLA DD TIPO 3 (1 OFICIAL + 3 AYUDANTE) (Carpinteria)</t>
  </si>
  <si>
    <t>021.071</t>
  </si>
  <si>
    <t>SUMINISTRO, TRANSPORTE E INSTALACION CUNETA RECTANGULAR EN CONCRETO 3000 PSI A=0.45 M. H=VARIABLE 0.20 A 0.35  M CON REJILLA PREFABRICADA (INCLUYE REJILLA PREFABRICADA CONCRETO)</t>
  </si>
  <si>
    <t>422</t>
  </si>
  <si>
    <t>PLASTOCRETE DM DE SIKA IMPERMEABILIZANTE PARA CONCRETOS O SIMILAR.</t>
  </si>
  <si>
    <t>2078</t>
  </si>
  <si>
    <t>REJILLA SUMIDERO PLAQUETA (PEATONAL) A=55 CM. L=40 CM. E=6 CM. REF. P40402 TIPO TITAN O SIMILAR</t>
  </si>
  <si>
    <t>104</t>
  </si>
  <si>
    <t>FORMALETA SARDINEL DESDE 0.20 HASTA 0.60 M. DE ALTURA POR 2.00 M. DE LONGITUD</t>
  </si>
  <si>
    <t>028.004</t>
  </si>
  <si>
    <t xml:space="preserve">DESMONTE CERRAMIENTO MALLA </t>
  </si>
  <si>
    <t>032.040</t>
  </si>
  <si>
    <t>SUMINISTRO, TRANSPORTE E INSTALACION LAMINA DE ICOPOR PARA CIELO RASO EN ESTRUCTURA EXISTENTE</t>
  </si>
  <si>
    <t>322</t>
  </si>
  <si>
    <t>PLACA ICOPOR TEXTURIZADO 60x60</t>
  </si>
  <si>
    <t>032.042</t>
  </si>
  <si>
    <t>SUMINISTRO, TRANSPORTE E INSTALACION SANITARIO LÍNEA INFANTIL COMPLETO, CON FLUITMASTER Y VÁLVULA DE REGULACIÓN SANITARIA</t>
  </si>
  <si>
    <t>113</t>
  </si>
  <si>
    <t>SANITARIO LINEA INFANTIL COMPLETO CON FLUITMASTER Y VALVULA DE REGULACION SANITARIA</t>
  </si>
  <si>
    <t>032.065</t>
  </si>
  <si>
    <t>SUMINISTRO, TRANSPORTE E INSTALACION VIDRIO TRASLUCIDO DE 4MM</t>
  </si>
  <si>
    <t>324</t>
  </si>
  <si>
    <t>VIDRIO TRASLUCIDO 4MM</t>
  </si>
  <si>
    <t>433</t>
  </si>
  <si>
    <t>SILICONA TUBO 280 ML</t>
  </si>
  <si>
    <t>032.125</t>
  </si>
  <si>
    <t>SUMINISTRO TRANSPORTE E INSTALACION MESON EN GRANITO NATURAL CRISTAL PULIDO Y BRILLADO, PARA INCRUSTAR LAVAMANOS A=0.60M</t>
  </si>
  <si>
    <t>1630</t>
  </si>
  <si>
    <t>MESON EN GRANITO NATURAL CRISTAL PULIDO Y BRILLADO</t>
  </si>
  <si>
    <t>032.139</t>
  </si>
  <si>
    <t>SUMINISTRO E INSTALACION 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t>
  </si>
  <si>
    <t>1673</t>
  </si>
  <si>
    <t>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t>
  </si>
  <si>
    <t>PISOS-BASES-RELLENOS</t>
  </si>
  <si>
    <t>ESTRUCTURAS EN CONCRETO, METALICAS Y DE MADERA</t>
  </si>
  <si>
    <t>MAMPOSTERIA</t>
  </si>
  <si>
    <t>PISOS - ACABADOS</t>
  </si>
  <si>
    <t>ENCHAPES Y ACCESORIOS</t>
  </si>
  <si>
    <t>VIDRIOS Y ESPEJOS</t>
  </si>
  <si>
    <t>APARATOS SANITARIOS</t>
  </si>
  <si>
    <t>OBRAS EXTERIORES</t>
  </si>
  <si>
    <t>1,3559</t>
  </si>
  <si>
    <t>AU 35,59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</si>
</sst>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6" formatCode="&quot;$&quot;\ #,##0;[Red]\-&quot;$&quot;\ #,##0"/>
    <numFmt numFmtId="41" formatCode="_-* #,##0_-;\-* #,##0_-;_-* &quot;-&quot;_-;_-@_-"/>
    <numFmt numFmtId="44" formatCode="_-&quot;$&quot;\ * #,##0.00_-;\-&quot;$&quot;\ * #,##0.00_-;_-&quot;$&quot;\ * &quot;-&quot;??_-;_-@_-"/>
    <numFmt numFmtId="43" formatCode="_-* #,##0.00_-;\-* #,##0.00_-;_-* &quot;-&quot;??_-;_-@_-"/>
    <numFmt numFmtId="164" formatCode="_-* #,##0.00\ _€_-;\-* #,##0.00\ _€_-;_-* &quot;-&quot;??\ _€_-;_-@_-"/>
    <numFmt numFmtId="165" formatCode="#,###"/>
    <numFmt numFmtId="166" formatCode="\$#,##0"/>
    <numFmt numFmtId="167" formatCode="0.0000"/>
    <numFmt numFmtId="168" formatCode="&quot;$&quot;#,##0.00"/>
    <numFmt numFmtId="169" formatCode="&quot;$&quot;\ #,##0.00"/>
    <numFmt numFmtId="170" formatCode="&quot;$&quot;\ #,##0.00;[Red]&quot;$&quot;\ \-#,##0.00"/>
    <numFmt numFmtId="171" formatCode="&quot;$&quot;\ #,##0_);\(&quot;$&quot;\ #,##0\)"/>
    <numFmt numFmtId="172" formatCode="_(&quot;$&quot;\ * #,##0.00_);_(&quot;$&quot;\ * \(#,##0.00\);_(&quot;$&quot;\ * &quot;-&quot;??_);_(@_)"/>
    <numFmt numFmtId="173" formatCode="_ &quot;$&quot;\ * #,##0_ ;_ &quot;$&quot;\ * \-#,##0_ ;_ &quot;$&quot;\ * &quot;-&quot;_ ;_ @_ "/>
    <numFmt numFmtId="174" formatCode="&quot;$&quot;\ #,##0.00_);\(&quot;$&quot;\ #,##0.00\)"/>
    <numFmt numFmtId="175" formatCode="&quot;$&quot;\ #,##0"/>
    <numFmt numFmtId="176" formatCode="_-[$$-240A]* #,##0_-;\-[$$-240A]* #,##0_-;_-[$$-240A]* &quot;-&quot;??_-;_-@_-"/>
    <numFmt numFmtId="177" formatCode="_-[$$-240A]\ * #,##0.00_ ;_-[$$-240A]\ * \-#,##0.00\ ;_-[$$-240A]\ * &quot;-&quot;??_ ;_-@_ "/>
    <numFmt numFmtId="178" formatCode="_-* #,##0.00\ &quot;Pts&quot;_-;\-* #,##0.00\ &quot;Pts&quot;_-;_-* &quot;-&quot;??\ &quot;Pts&quot;_-;_-@_-"/>
    <numFmt numFmtId="179" formatCode="_([$$-240A]\ * #,##0.00_);_([$$-240A]\ * \(#,##0.00\);_([$$-240A]\ * &quot;-&quot;??_);_(@_)"/>
    <numFmt numFmtId="180" formatCode="_([$$-240A]\ * #,##0_);_([$$-240A]\ * \(#,##0\);_([$$-240A]\ * &quot;-&quot;??_);_(@_)"/>
    <numFmt numFmtId="181" formatCode="0#.00\ \L\t"/>
    <numFmt numFmtId="182" formatCode="_ [$$-240A]\ * #,##0.00_ ;_ [$$-240A]\ * \-#,##0.00_ ;_ [$$-240A]\ * &quot;-&quot;??_ ;_ @_ "/>
    <numFmt numFmtId="183" formatCode="_ * #,##0_ ;_ * \-#,##0_ ;_ * &quot;-&quot;??_ ;_ @_ "/>
    <numFmt numFmtId="184" formatCode="_-[$$-240A]* #,##0.00_-;\-[$$-240A]* #,##0.00_-;_-[$$-240A]* &quot;-&quot;??_-;_-@_-"/>
    <numFmt numFmtId="185" formatCode="0.0%"/>
    <numFmt numFmtId="186" formatCode="_ * #,##0.00_ ;_ * \-#,##0.00_ ;_ * &quot;-&quot;??_ ;_ @_ "/>
  </numFmts>
  <fonts count="54">
    <font>
      <sz val="11"/>
      <color theme="1"/>
      <name val="Calibri"/>
      <family val="2"/>
      <scheme val="minor"/>
    </font>
    <font>
      <sz val="11"/>
      <color theme="1"/>
      <name val="Calibri"/>
      <family val="2"/>
      <scheme val="minor"/>
    </font>
    <font>
      <sz val="10"/>
      <color theme="1"/>
      <name val="Arial"/>
      <family val="2"/>
    </font>
    <font>
      <b/>
      <sz val="10"/>
      <name val="Arial"/>
      <family val="2"/>
    </font>
    <font>
      <sz val="8"/>
      <name val="Arial"/>
      <family val="2"/>
    </font>
    <font>
      <b/>
      <sz val="10"/>
      <color theme="1"/>
      <name val="Arial"/>
      <family val="2"/>
    </font>
    <font>
      <sz val="10"/>
      <color indexed="10"/>
      <name val="Arial"/>
      <family val="2"/>
    </font>
    <font>
      <b/>
      <sz val="11"/>
      <name val="Tahoma"/>
      <family val="2"/>
      <charset val="1"/>
    </font>
    <font>
      <b/>
      <sz val="8"/>
      <name val="Arial"/>
      <family val="2"/>
    </font>
    <font>
      <b/>
      <sz val="7"/>
      <name val="Arial"/>
      <family val="2"/>
    </font>
    <font>
      <b/>
      <i/>
      <sz val="8"/>
      <name val="Arial"/>
      <family val="2"/>
    </font>
    <font>
      <sz val="8"/>
      <color theme="1"/>
      <name val="Arial"/>
      <family val="2"/>
    </font>
    <font>
      <b/>
      <sz val="8"/>
      <color indexed="10"/>
      <name val="Arial"/>
      <family val="2"/>
    </font>
    <font>
      <sz val="8"/>
      <color indexed="10"/>
      <name val="Arial"/>
      <family val="2"/>
    </font>
    <font>
      <b/>
      <sz val="8"/>
      <color indexed="8"/>
      <name val="Times New Roman"/>
      <family val="1"/>
    </font>
    <font>
      <sz val="8"/>
      <color indexed="8"/>
      <name val="Times New Roman"/>
      <family val="1"/>
    </font>
    <font>
      <b/>
      <sz val="11"/>
      <color theme="1"/>
      <name val="Calibri"/>
      <family val="2"/>
      <scheme val="minor"/>
    </font>
    <font>
      <sz val="12"/>
      <name val="Arial Narrow"/>
      <family val="2"/>
    </font>
    <font>
      <sz val="11"/>
      <name val="Arial Narrow"/>
      <family val="2"/>
    </font>
    <font>
      <b/>
      <sz val="8"/>
      <color rgb="FF595959"/>
      <name val="Arial"/>
      <family val="2"/>
      <charset val="1"/>
    </font>
    <font>
      <sz val="8"/>
      <color rgb="FF595959"/>
      <name val="Arial"/>
      <family val="2"/>
      <charset val="1"/>
    </font>
    <font>
      <b/>
      <sz val="11"/>
      <name val="Arial"/>
      <family val="2"/>
    </font>
    <font>
      <sz val="11"/>
      <name val="Arial"/>
      <family val="2"/>
    </font>
    <font>
      <sz val="10"/>
      <name val="Arial"/>
      <family val="2"/>
    </font>
    <font>
      <b/>
      <sz val="12"/>
      <name val="Arial Narrow"/>
      <family val="2"/>
    </font>
    <font>
      <b/>
      <sz val="14"/>
      <name val="Arial Narrow"/>
      <family val="2"/>
    </font>
    <font>
      <b/>
      <sz val="16"/>
      <name val="Arial Narrow"/>
      <family val="2"/>
    </font>
    <font>
      <sz val="8"/>
      <name val="Arial Narrow"/>
      <family val="2"/>
    </font>
    <font>
      <b/>
      <sz val="12"/>
      <color rgb="FFFF0000"/>
      <name val="Arial Narrow"/>
      <family val="2"/>
    </font>
    <font>
      <sz val="10"/>
      <name val="Arial Narrow"/>
      <family val="2"/>
    </font>
    <font>
      <sz val="9"/>
      <name val="Arial Narrow"/>
      <family val="2"/>
    </font>
    <font>
      <b/>
      <sz val="8"/>
      <name val="Arial"/>
      <family val="2"/>
      <charset val="1"/>
    </font>
    <font>
      <sz val="8"/>
      <name val="Arial"/>
      <family val="2"/>
      <charset val="1"/>
    </font>
    <font>
      <b/>
      <u/>
      <sz val="11"/>
      <name val="Arial"/>
      <family val="2"/>
    </font>
    <font>
      <sz val="9"/>
      <name val="Arial"/>
      <family val="2"/>
    </font>
    <font>
      <b/>
      <sz val="11"/>
      <color rgb="FFFF0000"/>
      <name val="Arial"/>
      <family val="2"/>
    </font>
    <font>
      <b/>
      <sz val="11"/>
      <name val="Arial Narrow"/>
      <family val="2"/>
    </font>
    <font>
      <u/>
      <sz val="10"/>
      <color indexed="12"/>
      <name val="Arial"/>
      <family val="2"/>
    </font>
    <font>
      <u/>
      <sz val="11"/>
      <name val="Arial"/>
      <family val="2"/>
    </font>
    <font>
      <sz val="10"/>
      <name val="Geneva"/>
    </font>
    <font>
      <b/>
      <sz val="8"/>
      <name val="Arial Narrow"/>
      <family val="2"/>
    </font>
    <font>
      <b/>
      <vertAlign val="superscript"/>
      <sz val="11"/>
      <name val="Arial"/>
      <family val="2"/>
    </font>
    <font>
      <b/>
      <sz val="11"/>
      <color rgb="FF000000"/>
      <name val="Arial"/>
      <family val="2"/>
    </font>
    <font>
      <b/>
      <sz val="10"/>
      <color rgb="FF000000"/>
      <name val="Arial"/>
      <family val="2"/>
    </font>
    <font>
      <b/>
      <sz val="9"/>
      <color rgb="FF000000"/>
      <name val="Arial"/>
      <family val="2"/>
    </font>
    <font>
      <b/>
      <sz val="9"/>
      <color rgb="FFEFFBEF"/>
      <name val="Arial"/>
      <family val="2"/>
    </font>
    <font>
      <sz val="9"/>
      <color rgb="FF000000"/>
      <name val="Arial"/>
      <family val="2"/>
    </font>
    <font>
      <sz val="10"/>
      <color rgb="FF000000"/>
      <name val="Arial"/>
      <family val="2"/>
    </font>
    <font>
      <sz val="8"/>
      <name val="Calibri"/>
      <family val="2"/>
      <scheme val="minor"/>
    </font>
    <font>
      <b/>
      <sz val="14"/>
      <color rgb="FFEFFBEF"/>
      <name val="Calibri"/>
      <family val="2"/>
      <scheme val="minor"/>
    </font>
    <font>
      <b/>
      <sz val="10"/>
      <name val="Arial Narrow"/>
      <family val="2"/>
    </font>
    <font>
      <sz val="20"/>
      <color theme="1"/>
      <name val="Arial Narrow"/>
      <family val="2"/>
    </font>
    <font>
      <sz val="14"/>
      <name val="Arial Narrow"/>
      <family val="2"/>
    </font>
    <font>
      <sz val="14"/>
      <color theme="1"/>
      <name val="Arial Narrow"/>
      <family val="2"/>
    </font>
  </fonts>
  <fills count="13">
    <fill>
      <patternFill patternType="none"/>
    </fill>
    <fill>
      <patternFill patternType="gray125"/>
    </fill>
    <fill>
      <patternFill patternType="solid">
        <fgColor indexed="22"/>
        <bgColor indexed="31"/>
      </patternFill>
    </fill>
    <fill>
      <patternFill patternType="solid">
        <fgColor indexed="43"/>
        <bgColor indexed="26"/>
      </patternFill>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FFFF"/>
        <bgColor indexed="64"/>
      </patternFill>
    </fill>
    <fill>
      <patternFill patternType="solid">
        <fgColor rgb="FFE5E5FF"/>
        <bgColor indexed="64"/>
      </patternFill>
    </fill>
    <fill>
      <patternFill patternType="solid">
        <fgColor rgb="FFC4D79B"/>
        <bgColor indexed="64"/>
      </patternFill>
    </fill>
    <fill>
      <patternFill patternType="solid">
        <fgColor rgb="FF0404B4"/>
        <bgColor indexed="64"/>
      </patternFill>
    </fill>
  </fills>
  <borders count="107">
    <border>
      <left/>
      <right/>
      <top/>
      <bottom/>
      <diagonal/>
    </border>
    <border>
      <left style="medium">
        <color indexed="8"/>
      </left>
      <right style="medium">
        <color indexed="8"/>
      </right>
      <top style="medium">
        <color indexed="8"/>
      </top>
      <bottom style="thin">
        <color indexed="8"/>
      </bottom>
      <diagonal/>
    </border>
    <border>
      <left style="medium">
        <color indexed="8"/>
      </left>
      <right/>
      <top style="thin">
        <color indexed="8"/>
      </top>
      <bottom style="medium">
        <color indexed="8"/>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8"/>
      </left>
      <right/>
      <top style="medium">
        <color indexed="8"/>
      </top>
      <bottom style="thin">
        <color indexed="8"/>
      </bottom>
      <diagonal/>
    </border>
    <border>
      <left/>
      <right/>
      <top style="medium">
        <color indexed="8"/>
      </top>
      <bottom style="thin">
        <color indexed="8"/>
      </bottom>
      <diagonal/>
    </border>
    <border>
      <left style="medium">
        <color indexed="64"/>
      </left>
      <right style="medium">
        <color indexed="64"/>
      </right>
      <top style="medium">
        <color indexed="64"/>
      </top>
      <bottom style="medium">
        <color indexed="64"/>
      </bottom>
      <diagonal/>
    </border>
    <border>
      <left/>
      <right/>
      <top style="thin">
        <color indexed="8"/>
      </top>
      <bottom style="medium">
        <color indexed="8"/>
      </bottom>
      <diagonal/>
    </border>
    <border>
      <left style="medium">
        <color indexed="8"/>
      </left>
      <right style="medium">
        <color indexed="8"/>
      </right>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top style="thin">
        <color indexed="8"/>
      </top>
      <bottom style="thin">
        <color indexed="8"/>
      </bottom>
      <diagonal/>
    </border>
    <border>
      <left style="thin">
        <color auto="1"/>
      </left>
      <right style="thin">
        <color auto="1"/>
      </right>
      <top style="thin">
        <color auto="1"/>
      </top>
      <bottom style="thin">
        <color auto="1"/>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top style="medium">
        <color indexed="8"/>
      </top>
      <bottom style="medium">
        <color indexed="8"/>
      </bottom>
      <diagonal/>
    </border>
    <border>
      <left style="thin">
        <color indexed="8"/>
      </left>
      <right style="medium">
        <color indexed="8"/>
      </right>
      <top style="thin">
        <color indexed="8"/>
      </top>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top style="thin">
        <color indexed="8"/>
      </top>
      <bottom style="medium">
        <color indexed="8"/>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medium">
        <color indexed="64"/>
      </top>
      <bottom style="thin">
        <color indexed="64"/>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double">
        <color indexed="64"/>
      </right>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diagonal/>
    </border>
    <border>
      <left/>
      <right style="medium">
        <color indexed="64"/>
      </right>
      <top/>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diagonal/>
    </border>
  </borders>
  <cellStyleXfs count="23">
    <xf numFmtId="0" fontId="0" fillId="0" borderId="0"/>
    <xf numFmtId="9"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23" fillId="0" borderId="0"/>
    <xf numFmtId="0" fontId="23" fillId="0" borderId="0"/>
    <xf numFmtId="170" fontId="23" fillId="0" borderId="0" applyFont="0" applyFill="0" applyBorder="0" applyAlignment="0" applyProtection="0"/>
    <xf numFmtId="173" fontId="23" fillId="0" borderId="0" applyFont="0" applyFill="0" applyBorder="0" applyAlignment="0" applyProtection="0"/>
    <xf numFmtId="0" fontId="23" fillId="0" borderId="0"/>
    <xf numFmtId="0" fontId="23" fillId="0" borderId="0"/>
    <xf numFmtId="0" fontId="23" fillId="0" borderId="0"/>
    <xf numFmtId="178" fontId="23" fillId="0" borderId="0" applyFont="0" applyFill="0" applyBorder="0" applyAlignment="0" applyProtection="0"/>
    <xf numFmtId="181" fontId="23" fillId="0" borderId="0" applyFont="0" applyFill="0" applyBorder="0" applyAlignment="0" applyProtection="0"/>
    <xf numFmtId="0" fontId="1" fillId="0" borderId="0"/>
    <xf numFmtId="41" fontId="1" fillId="0" borderId="0" applyFont="0" applyFill="0" applyBorder="0" applyAlignment="0" applyProtection="0"/>
    <xf numFmtId="172" fontId="1" fillId="0" borderId="0" applyFont="0" applyFill="0" applyBorder="0" applyAlignment="0" applyProtection="0"/>
    <xf numFmtId="0" fontId="23" fillId="0" borderId="0"/>
    <xf numFmtId="0" fontId="23" fillId="0" borderId="0"/>
    <xf numFmtId="0" fontId="37" fillId="0" borderId="0" applyNumberFormat="0" applyFill="0" applyBorder="0" applyAlignment="0" applyProtection="0">
      <alignment vertical="top"/>
      <protection locked="0"/>
    </xf>
    <xf numFmtId="0" fontId="39" fillId="0" borderId="0"/>
    <xf numFmtId="44" fontId="1" fillId="0" borderId="0" applyFont="0" applyFill="0" applyBorder="0" applyAlignment="0" applyProtection="0"/>
    <xf numFmtId="0" fontId="23" fillId="0" borderId="0"/>
  </cellStyleXfs>
  <cellXfs count="648">
    <xf numFmtId="0" fontId="0" fillId="0" borderId="0" xfId="0"/>
    <xf numFmtId="1" fontId="0" fillId="0" borderId="0" xfId="0" applyNumberFormat="1" applyAlignment="1">
      <alignment vertical="center"/>
    </xf>
    <xf numFmtId="0" fontId="0" fillId="0" borderId="0" xfId="0" applyAlignment="1">
      <alignment vertical="center"/>
    </xf>
    <xf numFmtId="49" fontId="0" fillId="0" borderId="0" xfId="0" applyNumberForma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4" fontId="3" fillId="2" borderId="2" xfId="0" applyNumberFormat="1" applyFont="1" applyFill="1" applyBorder="1" applyAlignment="1">
      <alignment horizontal="center" vertical="center"/>
    </xf>
    <xf numFmtId="4" fontId="0" fillId="0" borderId="0" xfId="0" applyNumberFormat="1" applyAlignment="1">
      <alignment horizontal="center" vertical="center"/>
    </xf>
    <xf numFmtId="0" fontId="0" fillId="0" borderId="0" xfId="0" applyAlignment="1">
      <alignment horizontal="center" vertical="center"/>
    </xf>
    <xf numFmtId="4" fontId="0" fillId="0" borderId="0" xfId="0" applyNumberFormat="1" applyAlignment="1">
      <alignment vertical="center"/>
    </xf>
    <xf numFmtId="3" fontId="0" fillId="0" borderId="0" xfId="0" applyNumberFormat="1" applyAlignment="1">
      <alignment vertical="center"/>
    </xf>
    <xf numFmtId="10" fontId="0" fillId="0" borderId="0" xfId="0" applyNumberFormat="1" applyAlignment="1">
      <alignment vertical="center"/>
    </xf>
    <xf numFmtId="4" fontId="0" fillId="0" borderId="6" xfId="0" applyNumberFormat="1" applyBorder="1" applyAlignment="1">
      <alignment horizontal="left" vertical="center"/>
    </xf>
    <xf numFmtId="0" fontId="4" fillId="0" borderId="7" xfId="0" applyFont="1" applyBorder="1" applyAlignment="1">
      <alignment vertical="center"/>
    </xf>
    <xf numFmtId="0" fontId="0" fillId="0" borderId="7" xfId="0" applyBorder="1" applyAlignment="1">
      <alignment horizontal="center" vertical="center"/>
    </xf>
    <xf numFmtId="4" fontId="0" fillId="0" borderId="7" xfId="0" applyNumberFormat="1" applyBorder="1" applyAlignment="1">
      <alignment vertical="center"/>
    </xf>
    <xf numFmtId="165" fontId="7" fillId="0" borderId="8" xfId="0" applyNumberFormat="1" applyFont="1" applyBorder="1" applyAlignment="1">
      <alignment vertical="center"/>
    </xf>
    <xf numFmtId="166" fontId="8" fillId="0" borderId="0" xfId="0" applyNumberFormat="1" applyFont="1" applyAlignment="1">
      <alignment vertical="center"/>
    </xf>
    <xf numFmtId="3" fontId="4" fillId="0" borderId="0" xfId="0" applyNumberFormat="1" applyFont="1" applyAlignment="1">
      <alignment horizontal="right" vertical="center"/>
    </xf>
    <xf numFmtId="3" fontId="4" fillId="0" borderId="0" xfId="0" applyNumberFormat="1" applyFont="1" applyAlignment="1">
      <alignment vertical="center"/>
    </xf>
    <xf numFmtId="4" fontId="0" fillId="0" borderId="2" xfId="0" applyNumberFormat="1" applyBorder="1" applyAlignment="1">
      <alignment horizontal="left" vertical="center"/>
    </xf>
    <xf numFmtId="0" fontId="4" fillId="0" borderId="9" xfId="0" applyFont="1" applyBorder="1" applyAlignment="1">
      <alignment vertical="center"/>
    </xf>
    <xf numFmtId="0" fontId="0" fillId="0" borderId="9" xfId="0" applyBorder="1" applyAlignment="1">
      <alignment horizontal="center" vertical="center"/>
    </xf>
    <xf numFmtId="4" fontId="0" fillId="0" borderId="9" xfId="0" applyNumberFormat="1" applyBorder="1" applyAlignment="1">
      <alignment vertical="center"/>
    </xf>
    <xf numFmtId="4" fontId="8" fillId="2" borderId="10" xfId="0" applyNumberFormat="1" applyFont="1" applyFill="1" applyBorder="1" applyAlignment="1">
      <alignment vertical="center"/>
    </xf>
    <xf numFmtId="3" fontId="0" fillId="0" borderId="0" xfId="0" applyNumberFormat="1" applyAlignment="1">
      <alignment horizontal="center" vertical="center" wrapText="1"/>
    </xf>
    <xf numFmtId="4" fontId="9" fillId="0" borderId="11" xfId="0" applyNumberFormat="1" applyFont="1" applyBorder="1" applyAlignment="1">
      <alignment horizontal="center" vertical="center" wrapText="1"/>
    </xf>
    <xf numFmtId="0" fontId="9" fillId="0" borderId="11" xfId="0" applyFont="1" applyBorder="1" applyAlignment="1">
      <alignment horizontal="center" vertical="center" wrapText="1"/>
    </xf>
    <xf numFmtId="3" fontId="9" fillId="0" borderId="11" xfId="0" applyNumberFormat="1" applyFont="1" applyBorder="1" applyAlignment="1">
      <alignment horizontal="center" vertical="center" wrapText="1"/>
    </xf>
    <xf numFmtId="10" fontId="9" fillId="0" borderId="11" xfId="0" applyNumberFormat="1" applyFont="1" applyBorder="1" applyAlignment="1">
      <alignment horizontal="center" vertical="center" wrapText="1"/>
    </xf>
    <xf numFmtId="0" fontId="8" fillId="0" borderId="0" xfId="0" applyFont="1" applyAlignment="1">
      <alignment horizontal="center" vertical="center" wrapText="1"/>
    </xf>
    <xf numFmtId="4" fontId="8" fillId="0" borderId="12" xfId="0" applyNumberFormat="1" applyFont="1" applyBorder="1" applyAlignment="1">
      <alignment horizontal="center" vertical="center"/>
    </xf>
    <xf numFmtId="0" fontId="10" fillId="2" borderId="13" xfId="0" applyFont="1" applyFill="1" applyBorder="1" applyAlignment="1">
      <alignment horizontal="center" vertical="center" wrapText="1"/>
    </xf>
    <xf numFmtId="0" fontId="0" fillId="0" borderId="13" xfId="0" applyBorder="1" applyAlignment="1">
      <alignment horizontal="center" vertical="center"/>
    </xf>
    <xf numFmtId="4" fontId="0" fillId="0" borderId="13" xfId="0" applyNumberFormat="1" applyBorder="1" applyAlignment="1">
      <alignment vertical="center"/>
    </xf>
    <xf numFmtId="3" fontId="0" fillId="0" borderId="13" xfId="0" applyNumberFormat="1" applyBorder="1" applyAlignment="1">
      <alignment vertical="center"/>
    </xf>
    <xf numFmtId="0" fontId="0" fillId="0" borderId="13" xfId="0" applyBorder="1" applyAlignment="1">
      <alignment vertical="center"/>
    </xf>
    <xf numFmtId="10" fontId="3" fillId="2" borderId="14" xfId="0" applyNumberFormat="1" applyFont="1" applyFill="1" applyBorder="1" applyAlignment="1">
      <alignment vertical="center"/>
    </xf>
    <xf numFmtId="4" fontId="8" fillId="0" borderId="15" xfId="0" applyNumberFormat="1" applyFont="1" applyBorder="1" applyAlignment="1">
      <alignment horizontal="center" vertical="center"/>
    </xf>
    <xf numFmtId="0" fontId="10" fillId="0" borderId="16" xfId="0" applyFont="1" applyBorder="1" applyAlignment="1">
      <alignment horizontal="center" vertical="center"/>
    </xf>
    <xf numFmtId="0" fontId="0" fillId="0" borderId="16" xfId="0" applyBorder="1" applyAlignment="1">
      <alignment horizontal="center" vertical="center"/>
    </xf>
    <xf numFmtId="4" fontId="0" fillId="0" borderId="16" xfId="0" applyNumberFormat="1" applyBorder="1" applyAlignment="1">
      <alignment vertical="center"/>
    </xf>
    <xf numFmtId="3" fontId="0" fillId="0" borderId="16" xfId="0" applyNumberFormat="1" applyBorder="1" applyAlignment="1">
      <alignment vertical="center"/>
    </xf>
    <xf numFmtId="0" fontId="0" fillId="0" borderId="16" xfId="0" applyBorder="1" applyAlignment="1">
      <alignment vertical="center"/>
    </xf>
    <xf numFmtId="3" fontId="8" fillId="0" borderId="16" xfId="0" applyNumberFormat="1" applyFont="1" applyBorder="1" applyAlignment="1">
      <alignment vertical="center"/>
    </xf>
    <xf numFmtId="10" fontId="8" fillId="0" borderId="17" xfId="0" applyNumberFormat="1" applyFont="1" applyBorder="1" applyAlignment="1">
      <alignment vertical="center"/>
    </xf>
    <xf numFmtId="10" fontId="4" fillId="0" borderId="0" xfId="0" applyNumberFormat="1" applyFont="1" applyAlignment="1">
      <alignment vertical="center"/>
    </xf>
    <xf numFmtId="4" fontId="4" fillId="0" borderId="15" xfId="0" applyNumberFormat="1" applyFont="1" applyBorder="1" applyAlignment="1">
      <alignment horizontal="center" vertical="center"/>
    </xf>
    <xf numFmtId="0" fontId="4" fillId="0" borderId="16" xfId="0" applyFont="1" applyBorder="1" applyAlignment="1">
      <alignment vertical="center"/>
    </xf>
    <xf numFmtId="0" fontId="4" fillId="0" borderId="16" xfId="0" applyFont="1" applyBorder="1" applyAlignment="1">
      <alignment horizontal="center" vertical="center"/>
    </xf>
    <xf numFmtId="4" fontId="4" fillId="0" borderId="16" xfId="0" applyNumberFormat="1" applyFont="1" applyBorder="1" applyAlignment="1">
      <alignment vertical="center"/>
    </xf>
    <xf numFmtId="9" fontId="4" fillId="0" borderId="16" xfId="1" applyFont="1" applyBorder="1" applyAlignment="1">
      <alignment vertical="center"/>
    </xf>
    <xf numFmtId="3" fontId="4" fillId="0" borderId="16" xfId="0" applyNumberFormat="1" applyFont="1" applyBorder="1" applyAlignment="1">
      <alignment vertical="center"/>
    </xf>
    <xf numFmtId="10" fontId="4" fillId="0" borderId="16" xfId="0" applyNumberFormat="1" applyFont="1" applyBorder="1" applyAlignment="1">
      <alignment vertical="center"/>
    </xf>
    <xf numFmtId="10" fontId="11" fillId="0" borderId="17" xfId="0" applyNumberFormat="1" applyFont="1" applyBorder="1" applyAlignment="1">
      <alignment vertical="center"/>
    </xf>
    <xf numFmtId="4"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vertical="center" wrapText="1"/>
    </xf>
    <xf numFmtId="10" fontId="4" fillId="0" borderId="17" xfId="0" applyNumberFormat="1" applyFont="1" applyBorder="1" applyAlignment="1">
      <alignment vertical="center"/>
    </xf>
    <xf numFmtId="4" fontId="4" fillId="3" borderId="16" xfId="0" applyNumberFormat="1" applyFont="1" applyFill="1" applyBorder="1" applyAlignment="1">
      <alignment vertical="center"/>
    </xf>
    <xf numFmtId="0" fontId="8" fillId="2" borderId="16" xfId="0" applyFont="1" applyFill="1" applyBorder="1" applyAlignment="1">
      <alignment horizontal="center" vertical="center"/>
    </xf>
    <xf numFmtId="10" fontId="3" fillId="2" borderId="17" xfId="0" applyNumberFormat="1" applyFont="1" applyFill="1" applyBorder="1" applyAlignment="1">
      <alignment vertical="center"/>
    </xf>
    <xf numFmtId="167" fontId="12" fillId="3" borderId="16" xfId="0" applyNumberFormat="1" applyFont="1" applyFill="1" applyBorder="1" applyAlignment="1">
      <alignment vertical="center"/>
    </xf>
    <xf numFmtId="3" fontId="13" fillId="0" borderId="16" xfId="0" applyNumberFormat="1" applyFont="1" applyBorder="1" applyAlignment="1">
      <alignment vertical="center"/>
    </xf>
    <xf numFmtId="167" fontId="13" fillId="0" borderId="16" xfId="0" applyNumberFormat="1" applyFont="1" applyBorder="1" applyAlignment="1">
      <alignment vertical="center"/>
    </xf>
    <xf numFmtId="167" fontId="4" fillId="0" borderId="16" xfId="0" applyNumberFormat="1" applyFont="1" applyBorder="1" applyAlignment="1">
      <alignment vertical="center"/>
    </xf>
    <xf numFmtId="10" fontId="8" fillId="3" borderId="16" xfId="0" applyNumberFormat="1" applyFont="1" applyFill="1" applyBorder="1" applyAlignment="1">
      <alignment vertical="center"/>
    </xf>
    <xf numFmtId="3" fontId="4" fillId="3" borderId="16" xfId="0" applyNumberFormat="1" applyFont="1" applyFill="1" applyBorder="1" applyAlignment="1">
      <alignment vertical="center"/>
    </xf>
    <xf numFmtId="4" fontId="13" fillId="0" borderId="16" xfId="0" applyNumberFormat="1" applyFont="1" applyBorder="1" applyAlignment="1">
      <alignment vertical="center"/>
    </xf>
    <xf numFmtId="10" fontId="13" fillId="0" borderId="17" xfId="0" applyNumberFormat="1" applyFont="1" applyBorder="1" applyAlignment="1">
      <alignment vertical="center"/>
    </xf>
    <xf numFmtId="4" fontId="4" fillId="0" borderId="20" xfId="0" applyNumberFormat="1" applyFont="1" applyBorder="1" applyAlignment="1">
      <alignment horizontal="center" vertical="center"/>
    </xf>
    <xf numFmtId="4" fontId="4" fillId="0" borderId="21" xfId="0" applyNumberFormat="1" applyFont="1" applyBorder="1" applyAlignment="1">
      <alignment vertical="center"/>
    </xf>
    <xf numFmtId="0" fontId="4" fillId="0" borderId="21" xfId="0" applyFont="1" applyBorder="1" applyAlignment="1">
      <alignment vertical="center"/>
    </xf>
    <xf numFmtId="3" fontId="4" fillId="0" borderId="22" xfId="0" applyNumberFormat="1" applyFont="1" applyBorder="1" applyAlignment="1">
      <alignment vertical="center"/>
    </xf>
    <xf numFmtId="166" fontId="8" fillId="2" borderId="11" xfId="0" applyNumberFormat="1" applyFont="1" applyFill="1" applyBorder="1" applyAlignment="1">
      <alignment vertical="center"/>
    </xf>
    <xf numFmtId="10" fontId="3" fillId="2" borderId="11" xfId="0" applyNumberFormat="1" applyFont="1" applyFill="1" applyBorder="1" applyAlignment="1">
      <alignment vertical="center"/>
    </xf>
    <xf numFmtId="4" fontId="4" fillId="0" borderId="12" xfId="0" applyNumberFormat="1" applyFont="1" applyBorder="1" applyAlignment="1">
      <alignment horizontal="center" vertical="center"/>
    </xf>
    <xf numFmtId="0" fontId="8" fillId="0" borderId="13" xfId="0" applyFont="1" applyBorder="1" applyAlignment="1">
      <alignment vertical="center"/>
    </xf>
    <xf numFmtId="4" fontId="4" fillId="0" borderId="13" xfId="0" applyNumberFormat="1" applyFont="1" applyBorder="1" applyAlignment="1">
      <alignment vertical="center"/>
    </xf>
    <xf numFmtId="3" fontId="4" fillId="0" borderId="13" xfId="0" applyNumberFormat="1" applyFont="1" applyBorder="1" applyAlignment="1">
      <alignment vertical="center"/>
    </xf>
    <xf numFmtId="0" fontId="4" fillId="0" borderId="13" xfId="0" applyFont="1" applyBorder="1" applyAlignment="1">
      <alignment vertical="center"/>
    </xf>
    <xf numFmtId="10" fontId="4" fillId="0" borderId="14" xfId="0" applyNumberFormat="1" applyFont="1" applyBorder="1" applyAlignment="1">
      <alignment vertical="center"/>
    </xf>
    <xf numFmtId="0" fontId="8" fillId="0" borderId="16" xfId="0" applyFont="1" applyBorder="1" applyAlignment="1">
      <alignment vertical="center"/>
    </xf>
    <xf numFmtId="10" fontId="4" fillId="0" borderId="23" xfId="0" applyNumberFormat="1" applyFont="1" applyBorder="1" applyAlignment="1">
      <alignment vertical="center"/>
    </xf>
    <xf numFmtId="4" fontId="4" fillId="0" borderId="24" xfId="0" applyNumberFormat="1" applyFont="1" applyBorder="1" applyAlignment="1">
      <alignment horizontal="center" vertical="center"/>
    </xf>
    <xf numFmtId="0" fontId="8" fillId="0" borderId="25" xfId="0" applyFont="1" applyBorder="1" applyAlignment="1">
      <alignment vertical="center"/>
    </xf>
    <xf numFmtId="0" fontId="0" fillId="0" borderId="25" xfId="0" applyBorder="1" applyAlignment="1">
      <alignment horizontal="center" vertical="center"/>
    </xf>
    <xf numFmtId="4" fontId="4" fillId="0" borderId="25" xfId="0" applyNumberFormat="1" applyFont="1" applyBorder="1" applyAlignment="1">
      <alignment vertical="center"/>
    </xf>
    <xf numFmtId="3" fontId="4" fillId="0" borderId="25" xfId="0" applyNumberFormat="1" applyFont="1" applyBorder="1" applyAlignment="1">
      <alignment vertical="center"/>
    </xf>
    <xf numFmtId="0" fontId="4" fillId="0" borderId="25" xfId="0" applyFont="1" applyBorder="1" applyAlignment="1">
      <alignment vertical="center"/>
    </xf>
    <xf numFmtId="3" fontId="4" fillId="0" borderId="26" xfId="0" applyNumberFormat="1" applyFont="1" applyBorder="1" applyAlignment="1">
      <alignment vertical="center"/>
    </xf>
    <xf numFmtId="4" fontId="4" fillId="0" borderId="0" xfId="0" applyNumberFormat="1" applyFont="1" applyAlignment="1">
      <alignment horizontal="center" vertical="center"/>
    </xf>
    <xf numFmtId="4" fontId="4" fillId="0" borderId="0" xfId="0" applyNumberFormat="1" applyFont="1" applyAlignment="1">
      <alignment vertical="center"/>
    </xf>
    <xf numFmtId="168" fontId="2" fillId="0" borderId="0" xfId="0" applyNumberFormat="1" applyFont="1" applyAlignment="1">
      <alignment vertical="center"/>
    </xf>
    <xf numFmtId="169" fontId="3" fillId="0" borderId="0" xfId="0" applyNumberFormat="1" applyFont="1" applyAlignment="1">
      <alignment vertical="center"/>
    </xf>
    <xf numFmtId="9" fontId="4" fillId="0" borderId="16" xfId="1" applyFont="1" applyFill="1" applyBorder="1" applyAlignment="1">
      <alignment vertical="center"/>
    </xf>
    <xf numFmtId="0" fontId="17" fillId="0" borderId="0" xfId="3" applyFont="1"/>
    <xf numFmtId="0" fontId="17" fillId="0" borderId="0" xfId="3" applyFont="1" applyAlignment="1">
      <alignment horizontal="center"/>
    </xf>
    <xf numFmtId="0" fontId="18" fillId="0" borderId="0" xfId="3" applyFont="1"/>
    <xf numFmtId="0" fontId="17" fillId="0" borderId="27" xfId="3" applyFont="1" applyBorder="1"/>
    <xf numFmtId="0" fontId="17" fillId="0" borderId="28" xfId="3" applyFont="1" applyBorder="1"/>
    <xf numFmtId="0" fontId="17" fillId="0" borderId="28" xfId="3" applyFont="1" applyBorder="1" applyAlignment="1">
      <alignment horizontal="center"/>
    </xf>
    <xf numFmtId="0" fontId="17" fillId="0" borderId="29" xfId="3" applyFont="1" applyBorder="1"/>
    <xf numFmtId="0" fontId="17" fillId="0" borderId="30" xfId="3" applyFont="1" applyBorder="1"/>
    <xf numFmtId="0" fontId="17" fillId="0" borderId="31" xfId="3" applyFont="1" applyBorder="1"/>
    <xf numFmtId="0" fontId="17" fillId="6" borderId="0" xfId="3" applyFont="1" applyFill="1"/>
    <xf numFmtId="0" fontId="17" fillId="6" borderId="31" xfId="3" applyFont="1" applyFill="1" applyBorder="1"/>
    <xf numFmtId="0" fontId="24" fillId="5" borderId="3" xfId="5" applyFont="1" applyFill="1" applyBorder="1" applyAlignment="1">
      <alignment vertical="center"/>
    </xf>
    <xf numFmtId="0" fontId="24" fillId="5" borderId="4" xfId="5" applyFont="1" applyFill="1" applyBorder="1" applyAlignment="1">
      <alignment vertical="center"/>
    </xf>
    <xf numFmtId="0" fontId="24" fillId="5" borderId="5" xfId="5" applyFont="1" applyFill="1" applyBorder="1" applyAlignment="1">
      <alignment vertical="center"/>
    </xf>
    <xf numFmtId="0" fontId="17" fillId="0" borderId="38" xfId="5" applyFont="1" applyBorder="1" applyAlignment="1">
      <alignment horizontal="center" vertical="center"/>
    </xf>
    <xf numFmtId="49" fontId="17" fillId="0" borderId="39" xfId="6" applyNumberFormat="1" applyFont="1" applyBorder="1" applyAlignment="1">
      <alignment horizontal="center" vertical="center"/>
    </xf>
    <xf numFmtId="0" fontId="17" fillId="0" borderId="39" xfId="6" applyFont="1" applyBorder="1" applyAlignment="1">
      <alignment horizontal="center" vertical="center"/>
    </xf>
    <xf numFmtId="171" fontId="17" fillId="0" borderId="39" xfId="7" applyNumberFormat="1" applyFont="1" applyBorder="1" applyAlignment="1">
      <alignment horizontal="right" vertical="center" wrapText="1"/>
    </xf>
    <xf numFmtId="171" fontId="17" fillId="0" borderId="40" xfId="7" applyNumberFormat="1" applyFont="1" applyBorder="1" applyAlignment="1">
      <alignment horizontal="right" vertical="center" wrapText="1"/>
    </xf>
    <xf numFmtId="4" fontId="17" fillId="0" borderId="39" xfId="8" applyNumberFormat="1" applyFont="1" applyBorder="1" applyAlignment="1">
      <alignment vertical="center" wrapText="1"/>
    </xf>
    <xf numFmtId="171" fontId="17" fillId="0" borderId="39" xfId="7" applyNumberFormat="1" applyFont="1" applyFill="1" applyBorder="1" applyAlignment="1">
      <alignment horizontal="right" vertical="center" wrapText="1"/>
    </xf>
    <xf numFmtId="0" fontId="18" fillId="0" borderId="30" xfId="3" applyFont="1" applyBorder="1"/>
    <xf numFmtId="0" fontId="18" fillId="0" borderId="31" xfId="3" applyFont="1" applyBorder="1"/>
    <xf numFmtId="0" fontId="17" fillId="0" borderId="43" xfId="5" applyFont="1" applyBorder="1" applyAlignment="1">
      <alignment horizontal="left" vertical="center"/>
    </xf>
    <xf numFmtId="0" fontId="17" fillId="0" borderId="44" xfId="3" applyFont="1" applyBorder="1"/>
    <xf numFmtId="0" fontId="17" fillId="0" borderId="44" xfId="3" applyFont="1" applyBorder="1" applyAlignment="1">
      <alignment horizontal="center"/>
    </xf>
    <xf numFmtId="175" fontId="25" fillId="0" borderId="46" xfId="8" applyNumberFormat="1" applyFont="1" applyBorder="1" applyAlignment="1">
      <alignment horizontal="right" vertical="center"/>
    </xf>
    <xf numFmtId="0" fontId="17" fillId="0" borderId="39" xfId="5" applyFont="1" applyBorder="1" applyAlignment="1">
      <alignment horizontal="center" vertical="center"/>
    </xf>
    <xf numFmtId="0" fontId="17" fillId="0" borderId="39" xfId="5" applyFont="1" applyBorder="1" applyAlignment="1">
      <alignment horizontal="left" vertical="center" wrapText="1"/>
    </xf>
    <xf numFmtId="0" fontId="17" fillId="0" borderId="0" xfId="5" applyFont="1" applyAlignment="1">
      <alignment horizontal="center" vertical="center"/>
    </xf>
    <xf numFmtId="0" fontId="17" fillId="0" borderId="0" xfId="5" applyFont="1" applyAlignment="1">
      <alignment horizontal="left" vertical="center" wrapText="1"/>
    </xf>
    <xf numFmtId="174" fontId="17" fillId="0" borderId="51" xfId="7" applyNumberFormat="1" applyFont="1" applyBorder="1" applyAlignment="1">
      <alignment horizontal="right" vertical="center" wrapText="1"/>
    </xf>
    <xf numFmtId="171" fontId="25" fillId="0" borderId="52" xfId="7" applyNumberFormat="1" applyFont="1" applyBorder="1" applyAlignment="1">
      <alignment horizontal="right" vertical="center" wrapText="1"/>
    </xf>
    <xf numFmtId="2" fontId="17" fillId="0" borderId="44" xfId="5" applyNumberFormat="1" applyFont="1" applyBorder="1" applyAlignment="1">
      <alignment horizontal="center" vertical="center"/>
    </xf>
    <xf numFmtId="0" fontId="17" fillId="0" borderId="44" xfId="5" applyFont="1" applyBorder="1" applyAlignment="1">
      <alignment horizontal="left" vertical="center" wrapText="1"/>
    </xf>
    <xf numFmtId="0" fontId="17" fillId="0" borderId="44" xfId="5" applyFont="1" applyBorder="1" applyAlignment="1">
      <alignment horizontal="center" vertical="center"/>
    </xf>
    <xf numFmtId="4" fontId="17" fillId="0" borderId="53" xfId="8" applyNumberFormat="1" applyFont="1" applyBorder="1" applyAlignment="1">
      <alignment vertical="center" wrapText="1"/>
    </xf>
    <xf numFmtId="174" fontId="17" fillId="0" borderId="54" xfId="7" applyNumberFormat="1" applyFont="1" applyBorder="1" applyAlignment="1">
      <alignment horizontal="right" vertical="center" wrapText="1"/>
    </xf>
    <xf numFmtId="0" fontId="17" fillId="0" borderId="0" xfId="9" applyFont="1"/>
    <xf numFmtId="0" fontId="17" fillId="0" borderId="30" xfId="9" applyFont="1" applyBorder="1"/>
    <xf numFmtId="176" fontId="26" fillId="5" borderId="5" xfId="5" applyNumberFormat="1" applyFont="1" applyFill="1" applyBorder="1" applyAlignment="1">
      <alignment vertical="center"/>
    </xf>
    <xf numFmtId="0" fontId="17" fillId="0" borderId="31" xfId="9" applyFont="1" applyBorder="1"/>
    <xf numFmtId="0" fontId="27" fillId="0" borderId="0" xfId="9" applyFont="1"/>
    <xf numFmtId="49" fontId="24" fillId="0" borderId="0" xfId="10" applyNumberFormat="1" applyFont="1" applyAlignment="1">
      <alignment horizontal="right" vertical="center"/>
    </xf>
    <xf numFmtId="177" fontId="24" fillId="0" borderId="0" xfId="10" applyNumberFormat="1" applyFont="1" applyAlignment="1">
      <alignment vertical="center"/>
    </xf>
    <xf numFmtId="0" fontId="17" fillId="0" borderId="0" xfId="11" applyFont="1"/>
    <xf numFmtId="0" fontId="17" fillId="0" borderId="0" xfId="11" applyFont="1" applyAlignment="1">
      <alignment horizontal="center"/>
    </xf>
    <xf numFmtId="0" fontId="28" fillId="0" borderId="58" xfId="11" applyFont="1" applyBorder="1" applyAlignment="1">
      <alignment horizontal="right" vertical="center"/>
    </xf>
    <xf numFmtId="179" fontId="17" fillId="0" borderId="34" xfId="12" applyNumberFormat="1" applyFont="1" applyBorder="1" applyAlignment="1">
      <alignment vertical="center"/>
    </xf>
    <xf numFmtId="0" fontId="17" fillId="0" borderId="0" xfId="6" applyFont="1" applyAlignment="1">
      <alignment horizontal="center" vertical="center"/>
    </xf>
    <xf numFmtId="0" fontId="24" fillId="0" borderId="59" xfId="11" applyFont="1" applyBorder="1" applyAlignment="1">
      <alignment horizontal="left" vertical="center"/>
    </xf>
    <xf numFmtId="9" fontId="17" fillId="0" borderId="47" xfId="12" applyNumberFormat="1" applyFont="1" applyBorder="1" applyAlignment="1">
      <alignment horizontal="center" vertical="center"/>
    </xf>
    <xf numFmtId="179" fontId="17" fillId="0" borderId="47" xfId="12" applyNumberFormat="1" applyFont="1" applyBorder="1" applyAlignment="1">
      <alignment vertical="center"/>
    </xf>
    <xf numFmtId="0" fontId="17" fillId="0" borderId="48" xfId="11" applyFont="1" applyBorder="1" applyAlignment="1">
      <alignment vertical="center"/>
    </xf>
    <xf numFmtId="180" fontId="26" fillId="0" borderId="42" xfId="12" applyNumberFormat="1" applyFont="1" applyBorder="1" applyAlignment="1">
      <alignment vertical="center"/>
    </xf>
    <xf numFmtId="0" fontId="24" fillId="0" borderId="60" xfId="11" applyFont="1" applyBorder="1" applyAlignment="1">
      <alignment horizontal="left" vertical="center"/>
    </xf>
    <xf numFmtId="9" fontId="17" fillId="0" borderId="49" xfId="12" applyNumberFormat="1" applyFont="1" applyBorder="1" applyAlignment="1">
      <alignment horizontal="center" vertical="center"/>
    </xf>
    <xf numFmtId="179" fontId="24" fillId="0" borderId="49" xfId="12" applyNumberFormat="1" applyFont="1" applyBorder="1" applyAlignment="1">
      <alignment vertical="center"/>
    </xf>
    <xf numFmtId="0" fontId="17" fillId="0" borderId="50" xfId="11" applyFont="1" applyBorder="1" applyAlignment="1">
      <alignment vertical="center"/>
    </xf>
    <xf numFmtId="2" fontId="17" fillId="0" borderId="0" xfId="11" applyNumberFormat="1" applyFont="1"/>
    <xf numFmtId="179" fontId="17" fillId="0" borderId="0" xfId="12" applyNumberFormat="1" applyFont="1"/>
    <xf numFmtId="39" fontId="24" fillId="0" borderId="0" xfId="12" applyNumberFormat="1" applyFont="1" applyAlignment="1">
      <alignment vertical="center"/>
    </xf>
    <xf numFmtId="177" fontId="24" fillId="6" borderId="39" xfId="13" applyNumberFormat="1" applyFont="1" applyFill="1" applyBorder="1" applyAlignment="1">
      <alignment horizontal="center" vertical="center"/>
    </xf>
    <xf numFmtId="182" fontId="17" fillId="0" borderId="31" xfId="9" applyNumberFormat="1" applyFont="1" applyBorder="1"/>
    <xf numFmtId="10" fontId="17" fillId="4" borderId="39" xfId="1" applyNumberFormat="1" applyFont="1" applyFill="1" applyBorder="1" applyAlignment="1">
      <alignment horizontal="center" vertical="center"/>
    </xf>
    <xf numFmtId="0" fontId="29" fillId="0" borderId="0" xfId="9" applyFont="1"/>
    <xf numFmtId="0" fontId="17" fillId="0" borderId="61" xfId="9" applyFont="1" applyBorder="1"/>
    <xf numFmtId="0" fontId="17" fillId="0" borderId="62" xfId="3" applyFont="1" applyBorder="1"/>
    <xf numFmtId="0" fontId="17" fillId="0" borderId="62" xfId="3" applyFont="1" applyBorder="1" applyAlignment="1">
      <alignment horizontal="center"/>
    </xf>
    <xf numFmtId="183" fontId="17" fillId="0" borderId="62" xfId="2" applyNumberFormat="1" applyFont="1" applyBorder="1"/>
    <xf numFmtId="0" fontId="17" fillId="0" borderId="63" xfId="3" applyFont="1" applyBorder="1"/>
    <xf numFmtId="0" fontId="18" fillId="0" borderId="0" xfId="3" applyFont="1" applyAlignment="1">
      <alignment horizontal="center"/>
    </xf>
    <xf numFmtId="0" fontId="31" fillId="0" borderId="66" xfId="0" applyFont="1" applyBorder="1" applyAlignment="1">
      <alignment horizontal="left" vertical="center"/>
    </xf>
    <xf numFmtId="0" fontId="32" fillId="0" borderId="66" xfId="0" applyFont="1" applyBorder="1" applyAlignment="1">
      <alignment horizontal="left" vertical="center"/>
    </xf>
    <xf numFmtId="0" fontId="17" fillId="6" borderId="67" xfId="3" applyFont="1" applyFill="1" applyBorder="1"/>
    <xf numFmtId="0" fontId="18" fillId="6" borderId="0" xfId="3" applyFont="1" applyFill="1"/>
    <xf numFmtId="0" fontId="17" fillId="0" borderId="67" xfId="3" applyFont="1" applyBorder="1"/>
    <xf numFmtId="0" fontId="8" fillId="0" borderId="66" xfId="0" applyFont="1" applyBorder="1" applyAlignment="1">
      <alignment horizontal="left" vertical="center"/>
    </xf>
    <xf numFmtId="0" fontId="4" fillId="0" borderId="66" xfId="0" applyFont="1" applyBorder="1" applyAlignment="1">
      <alignment horizontal="left" vertical="center"/>
    </xf>
    <xf numFmtId="0" fontId="21" fillId="0" borderId="36" xfId="6" applyFont="1" applyBorder="1" applyAlignment="1">
      <alignment horizontal="center" vertical="center" wrapText="1"/>
    </xf>
    <xf numFmtId="0" fontId="21" fillId="8" borderId="3" xfId="5" applyFont="1" applyFill="1" applyBorder="1" applyAlignment="1">
      <alignment vertical="center"/>
    </xf>
    <xf numFmtId="0" fontId="21" fillId="8" borderId="4" xfId="5" applyFont="1" applyFill="1" applyBorder="1" applyAlignment="1">
      <alignment vertical="center"/>
    </xf>
    <xf numFmtId="0" fontId="21" fillId="8" borderId="5" xfId="5" applyFont="1" applyFill="1" applyBorder="1" applyAlignment="1">
      <alignment vertical="center"/>
    </xf>
    <xf numFmtId="0" fontId="22" fillId="0" borderId="38" xfId="5" applyFont="1" applyBorder="1" applyAlignment="1">
      <alignment horizontal="center" vertical="center"/>
    </xf>
    <xf numFmtId="0" fontId="22" fillId="0" borderId="19" xfId="6" applyFont="1" applyBorder="1" applyAlignment="1">
      <alignment horizontal="center" vertical="center"/>
    </xf>
    <xf numFmtId="0" fontId="22" fillId="0" borderId="19" xfId="6" applyFont="1" applyBorder="1" applyAlignment="1">
      <alignment horizontal="left" vertical="center" wrapText="1"/>
    </xf>
    <xf numFmtId="4" fontId="22" fillId="0" borderId="19" xfId="8" applyNumberFormat="1" applyFont="1" applyBorder="1" applyAlignment="1">
      <alignment vertical="center" wrapText="1"/>
    </xf>
    <xf numFmtId="174" fontId="22" fillId="0" borderId="19" xfId="7" applyNumberFormat="1" applyFont="1" applyBorder="1" applyAlignment="1">
      <alignment horizontal="right" vertical="center" wrapText="1"/>
    </xf>
    <xf numFmtId="174" fontId="22" fillId="0" borderId="40" xfId="7" applyNumberFormat="1" applyFont="1" applyBorder="1" applyAlignment="1">
      <alignment horizontal="right" vertical="center" wrapText="1"/>
    </xf>
    <xf numFmtId="0" fontId="22" fillId="0" borderId="43" xfId="5" applyFont="1" applyBorder="1" applyAlignment="1">
      <alignment horizontal="left" vertical="center"/>
    </xf>
    <xf numFmtId="0" fontId="22" fillId="0" borderId="44" xfId="6" applyFont="1" applyBorder="1" applyAlignment="1">
      <alignment horizontal="center" vertical="center"/>
    </xf>
    <xf numFmtId="0" fontId="22" fillId="0" borderId="44" xfId="6" applyFont="1" applyBorder="1" applyAlignment="1">
      <alignment horizontal="left" vertical="center" wrapText="1"/>
    </xf>
    <xf numFmtId="174" fontId="22" fillId="0" borderId="54" xfId="7" applyNumberFormat="1" applyFont="1" applyBorder="1" applyAlignment="1">
      <alignment horizontal="right" vertical="center" wrapText="1"/>
    </xf>
    <xf numFmtId="169" fontId="21" fillId="0" borderId="46" xfId="8" applyNumberFormat="1" applyFont="1" applyBorder="1" applyAlignment="1">
      <alignment horizontal="right" vertical="center"/>
    </xf>
    <xf numFmtId="0" fontId="22" fillId="0" borderId="19" xfId="6" applyFont="1" applyBorder="1" applyAlignment="1">
      <alignment horizontal="left" vertical="center"/>
    </xf>
    <xf numFmtId="174" fontId="22" fillId="0" borderId="42" xfId="7" applyNumberFormat="1" applyFont="1" applyBorder="1" applyAlignment="1">
      <alignment horizontal="right" vertical="center" wrapText="1"/>
    </xf>
    <xf numFmtId="0" fontId="22" fillId="0" borderId="19" xfId="17" applyFont="1" applyBorder="1" applyAlignment="1">
      <alignment horizontal="center" vertical="center"/>
    </xf>
    <xf numFmtId="0" fontId="22" fillId="0" borderId="19" xfId="17" applyFont="1" applyBorder="1" applyAlignment="1">
      <alignment horizontal="left" vertical="center"/>
    </xf>
    <xf numFmtId="0" fontId="22" fillId="0" borderId="44" xfId="3" applyFont="1" applyBorder="1"/>
    <xf numFmtId="0" fontId="22" fillId="0" borderId="44" xfId="3" applyFont="1" applyBorder="1" applyAlignment="1">
      <alignment horizontal="center"/>
    </xf>
    <xf numFmtId="0" fontId="22" fillId="0" borderId="19" xfId="5" applyFont="1" applyBorder="1" applyAlignment="1">
      <alignment horizontal="center" vertical="center"/>
    </xf>
    <xf numFmtId="0" fontId="22" fillId="0" borderId="19" xfId="5" applyFont="1" applyBorder="1" applyAlignment="1">
      <alignment horizontal="left" vertical="center" wrapText="1"/>
    </xf>
    <xf numFmtId="0" fontId="22" fillId="0" borderId="19" xfId="17" applyFont="1" applyBorder="1" applyAlignment="1">
      <alignment horizontal="left" vertical="center" wrapText="1"/>
    </xf>
    <xf numFmtId="174" fontId="22" fillId="0" borderId="19" xfId="7" quotePrefix="1" applyNumberFormat="1" applyFont="1" applyBorder="1" applyAlignment="1">
      <alignment horizontal="right" vertical="center" wrapText="1"/>
    </xf>
    <xf numFmtId="0" fontId="22" fillId="0" borderId="38" xfId="17" applyFont="1" applyBorder="1" applyAlignment="1">
      <alignment horizontal="center" vertical="center"/>
    </xf>
    <xf numFmtId="0" fontId="22" fillId="0" borderId="19" xfId="5" applyFont="1" applyBorder="1" applyAlignment="1">
      <alignment horizontal="center" vertical="center" wrapText="1"/>
    </xf>
    <xf numFmtId="0" fontId="22" fillId="0" borderId="74" xfId="5" applyFont="1" applyBorder="1" applyAlignment="1">
      <alignment horizontal="left" vertical="center"/>
    </xf>
    <xf numFmtId="0" fontId="22" fillId="0" borderId="0" xfId="5" applyFont="1" applyAlignment="1">
      <alignment horizontal="center" vertical="center"/>
    </xf>
    <xf numFmtId="0" fontId="22" fillId="0" borderId="0" xfId="5" applyFont="1" applyAlignment="1">
      <alignment horizontal="left" vertical="center" wrapText="1"/>
    </xf>
    <xf numFmtId="174" fontId="22" fillId="0" borderId="51" xfId="7" applyNumberFormat="1" applyFont="1" applyBorder="1" applyAlignment="1">
      <alignment horizontal="right" vertical="center" wrapText="1"/>
    </xf>
    <xf numFmtId="169" fontId="21" fillId="0" borderId="52" xfId="8" applyNumberFormat="1" applyFont="1" applyBorder="1" applyAlignment="1">
      <alignment horizontal="right" vertical="center"/>
    </xf>
    <xf numFmtId="0" fontId="22" fillId="0" borderId="41" xfId="5" applyFont="1" applyBorder="1" applyAlignment="1">
      <alignment horizontal="center" vertical="center"/>
    </xf>
    <xf numFmtId="2" fontId="22" fillId="0" borderId="44" xfId="5" applyNumberFormat="1" applyFont="1" applyBorder="1" applyAlignment="1">
      <alignment horizontal="center" vertical="center"/>
    </xf>
    <xf numFmtId="0" fontId="22" fillId="0" borderId="44" xfId="5" applyFont="1" applyBorder="1" applyAlignment="1">
      <alignment horizontal="left" vertical="center"/>
    </xf>
    <xf numFmtId="0" fontId="22" fillId="0" borderId="44" xfId="5" applyFont="1" applyBorder="1" applyAlignment="1">
      <alignment horizontal="center" vertical="center"/>
    </xf>
    <xf numFmtId="0" fontId="22" fillId="0" borderId="44" xfId="5" applyFont="1" applyBorder="1" applyAlignment="1">
      <alignment horizontal="left" vertical="center" wrapText="1"/>
    </xf>
    <xf numFmtId="184" fontId="21" fillId="8" borderId="5" xfId="5" applyNumberFormat="1" applyFont="1" applyFill="1" applyBorder="1" applyAlignment="1">
      <alignment vertical="center"/>
    </xf>
    <xf numFmtId="49" fontId="21" fillId="0" borderId="0" xfId="10" applyNumberFormat="1" applyFont="1" applyAlignment="1">
      <alignment horizontal="right" vertical="center"/>
    </xf>
    <xf numFmtId="177" fontId="21" fillId="0" borderId="0" xfId="10" applyNumberFormat="1" applyFont="1" applyAlignment="1">
      <alignment vertical="center"/>
    </xf>
    <xf numFmtId="0" fontId="22" fillId="0" borderId="0" xfId="11" applyFont="1"/>
    <xf numFmtId="0" fontId="22" fillId="0" borderId="0" xfId="11" applyFont="1" applyAlignment="1">
      <alignment horizontal="center"/>
    </xf>
    <xf numFmtId="0" fontId="35" fillId="0" borderId="58" xfId="11" applyFont="1" applyBorder="1" applyAlignment="1">
      <alignment horizontal="right" vertical="center"/>
    </xf>
    <xf numFmtId="179" fontId="22" fillId="0" borderId="34" xfId="12" applyNumberFormat="1" applyFont="1" applyBorder="1" applyAlignment="1">
      <alignment vertical="center"/>
    </xf>
    <xf numFmtId="0" fontId="22" fillId="0" borderId="59" xfId="11" applyFont="1" applyBorder="1" applyAlignment="1">
      <alignment horizontal="left" vertical="center"/>
    </xf>
    <xf numFmtId="185" fontId="22" fillId="0" borderId="69" xfId="12" applyNumberFormat="1" applyFont="1" applyBorder="1" applyAlignment="1">
      <alignment horizontal="center" vertical="center"/>
    </xf>
    <xf numFmtId="0" fontId="21" fillId="0" borderId="69" xfId="11" applyFont="1" applyBorder="1" applyAlignment="1">
      <alignment vertical="center"/>
    </xf>
    <xf numFmtId="0" fontId="21" fillId="0" borderId="75" xfId="11" applyFont="1" applyBorder="1" applyAlignment="1">
      <alignment horizontal="right" vertical="center"/>
    </xf>
    <xf numFmtId="179" fontId="22" fillId="0" borderId="42" xfId="12" applyNumberFormat="1" applyFont="1" applyBorder="1" applyAlignment="1">
      <alignment vertical="center"/>
    </xf>
    <xf numFmtId="0" fontId="22" fillId="0" borderId="0" xfId="6" applyFont="1" applyAlignment="1">
      <alignment horizontal="center" vertical="center"/>
    </xf>
    <xf numFmtId="9" fontId="22" fillId="0" borderId="69" xfId="12" applyNumberFormat="1" applyFont="1" applyBorder="1" applyAlignment="1">
      <alignment horizontal="center" vertical="center"/>
    </xf>
    <xf numFmtId="179" fontId="22" fillId="0" borderId="69" xfId="12" applyNumberFormat="1" applyFont="1" applyBorder="1" applyAlignment="1">
      <alignment vertical="center"/>
    </xf>
    <xf numFmtId="0" fontId="22" fillId="0" borderId="75" xfId="11" applyFont="1" applyBorder="1" applyAlignment="1">
      <alignment vertical="center"/>
    </xf>
    <xf numFmtId="0" fontId="21" fillId="0" borderId="59" xfId="11" applyFont="1" applyBorder="1" applyAlignment="1">
      <alignment horizontal="left" vertical="center"/>
    </xf>
    <xf numFmtId="179" fontId="21" fillId="0" borderId="42" xfId="12" applyNumberFormat="1" applyFont="1" applyBorder="1" applyAlignment="1">
      <alignment vertical="center"/>
    </xf>
    <xf numFmtId="0" fontId="22" fillId="0" borderId="59" xfId="11" applyFont="1" applyBorder="1" applyAlignment="1">
      <alignment horizontal="left" vertical="center" wrapText="1"/>
    </xf>
    <xf numFmtId="0" fontId="22" fillId="0" borderId="75" xfId="11" applyFont="1" applyBorder="1" applyAlignment="1">
      <alignment horizontal="right" vertical="center"/>
    </xf>
    <xf numFmtId="0" fontId="21" fillId="0" borderId="59" xfId="11" applyFont="1" applyBorder="1" applyAlignment="1">
      <alignment horizontal="left" vertical="center" wrapText="1"/>
    </xf>
    <xf numFmtId="0" fontId="21" fillId="0" borderId="60" xfId="11" applyFont="1" applyBorder="1" applyAlignment="1">
      <alignment horizontal="left" vertical="center"/>
    </xf>
    <xf numFmtId="9" fontId="22" fillId="0" borderId="49" xfId="12" applyNumberFormat="1" applyFont="1" applyBorder="1" applyAlignment="1">
      <alignment horizontal="center" vertical="center"/>
    </xf>
    <xf numFmtId="179" fontId="21" fillId="0" borderId="49" xfId="12" applyNumberFormat="1" applyFont="1" applyBorder="1" applyAlignment="1">
      <alignment vertical="center"/>
    </xf>
    <xf numFmtId="0" fontId="22" fillId="0" borderId="50" xfId="11" applyFont="1" applyBorder="1" applyAlignment="1">
      <alignment vertical="center"/>
    </xf>
    <xf numFmtId="2" fontId="22" fillId="0" borderId="0" xfId="11" applyNumberFormat="1" applyFont="1"/>
    <xf numFmtId="179" fontId="22" fillId="0" borderId="0" xfId="12" applyNumberFormat="1" applyFont="1"/>
    <xf numFmtId="39" fontId="21" fillId="0" borderId="0" xfId="12" applyNumberFormat="1" applyFont="1" applyAlignment="1">
      <alignment vertical="center"/>
    </xf>
    <xf numFmtId="0" fontId="21" fillId="0" borderId="56" xfId="18" applyFont="1" applyBorder="1" applyAlignment="1">
      <alignment vertical="center"/>
    </xf>
    <xf numFmtId="180" fontId="17" fillId="0" borderId="31" xfId="9" applyNumberFormat="1" applyFont="1" applyBorder="1"/>
    <xf numFmtId="177" fontId="21" fillId="4" borderId="40" xfId="13" applyNumberFormat="1" applyFont="1" applyFill="1" applyBorder="1" applyAlignment="1">
      <alignment horizontal="center" vertical="center"/>
    </xf>
    <xf numFmtId="177" fontId="21" fillId="4" borderId="19" xfId="13" applyNumberFormat="1" applyFont="1" applyFill="1" applyBorder="1" applyAlignment="1">
      <alignment horizontal="center" vertical="center"/>
    </xf>
    <xf numFmtId="9" fontId="22" fillId="7" borderId="42" xfId="1" applyFont="1" applyFill="1" applyBorder="1" applyAlignment="1">
      <alignment horizontal="center" vertical="center"/>
    </xf>
    <xf numFmtId="182" fontId="17" fillId="0" borderId="77" xfId="9" applyNumberFormat="1" applyFont="1" applyBorder="1"/>
    <xf numFmtId="0" fontId="22" fillId="0" borderId="78" xfId="0" applyFont="1" applyBorder="1" applyAlignment="1">
      <alignment vertical="center" wrapText="1"/>
    </xf>
    <xf numFmtId="0" fontId="22" fillId="0" borderId="79" xfId="0" applyFont="1" applyBorder="1" applyAlignment="1">
      <alignment vertical="center" wrapText="1"/>
    </xf>
    <xf numFmtId="0" fontId="22" fillId="0" borderId="80" xfId="0" applyFont="1" applyBorder="1" applyAlignment="1">
      <alignment vertical="center" wrapText="1"/>
    </xf>
    <xf numFmtId="0" fontId="22" fillId="0" borderId="81" xfId="0" applyFont="1" applyBorder="1" applyAlignment="1">
      <alignment vertical="center" wrapText="1"/>
    </xf>
    <xf numFmtId="0" fontId="22" fillId="0" borderId="0" xfId="0" applyFont="1" applyAlignment="1">
      <alignment vertical="center" wrapText="1"/>
    </xf>
    <xf numFmtId="0" fontId="22" fillId="0" borderId="51" xfId="0" applyFont="1" applyBorder="1" applyAlignment="1">
      <alignment vertical="center" wrapText="1"/>
    </xf>
    <xf numFmtId="0" fontId="22" fillId="0" borderId="44" xfId="0" applyFont="1" applyBorder="1" applyAlignment="1">
      <alignment vertical="center" wrapText="1"/>
    </xf>
    <xf numFmtId="0" fontId="22" fillId="0" borderId="54" xfId="0" applyFont="1" applyBorder="1" applyAlignment="1">
      <alignment vertical="center" wrapText="1"/>
    </xf>
    <xf numFmtId="0" fontId="22" fillId="6" borderId="84" xfId="4" applyFont="1" applyFill="1" applyBorder="1" applyAlignment="1">
      <alignment horizontal="center" vertical="center" wrapText="1"/>
    </xf>
    <xf numFmtId="0" fontId="22" fillId="6" borderId="0" xfId="4" applyFont="1" applyFill="1" applyAlignment="1">
      <alignment horizontal="center" vertical="center" wrapText="1"/>
    </xf>
    <xf numFmtId="0" fontId="21" fillId="6" borderId="79" xfId="4" applyFont="1" applyFill="1" applyBorder="1" applyAlignment="1">
      <alignment horizontal="center" vertical="center" wrapText="1"/>
    </xf>
    <xf numFmtId="0" fontId="36" fillId="0" borderId="0" xfId="3" applyFont="1"/>
    <xf numFmtId="0" fontId="29" fillId="0" borderId="0" xfId="0" applyFont="1"/>
    <xf numFmtId="0" fontId="29" fillId="0" borderId="27" xfId="0" applyFont="1" applyBorder="1"/>
    <xf numFmtId="0" fontId="29" fillId="0" borderId="28" xfId="0" applyFont="1" applyBorder="1"/>
    <xf numFmtId="0" fontId="29" fillId="0" borderId="29" xfId="0" applyFont="1" applyBorder="1"/>
    <xf numFmtId="0" fontId="29" fillId="0" borderId="30" xfId="0" applyFont="1" applyBorder="1"/>
    <xf numFmtId="0" fontId="29" fillId="0" borderId="31" xfId="0" applyFont="1" applyBorder="1"/>
    <xf numFmtId="0" fontId="31" fillId="0" borderId="65" xfId="0" applyFont="1" applyBorder="1" applyAlignment="1">
      <alignment horizontal="left" vertical="center"/>
    </xf>
    <xf numFmtId="0" fontId="32" fillId="0" borderId="65" xfId="0" applyFont="1" applyBorder="1" applyAlignment="1">
      <alignment horizontal="left" vertical="center"/>
    </xf>
    <xf numFmtId="0" fontId="19" fillId="0" borderId="0" xfId="0" applyFont="1"/>
    <xf numFmtId="0" fontId="20" fillId="0" borderId="0" xfId="0" applyFont="1"/>
    <xf numFmtId="0" fontId="17" fillId="0" borderId="31" xfId="0" applyFont="1" applyBorder="1" applyAlignment="1">
      <alignment horizontal="center" wrapText="1"/>
    </xf>
    <xf numFmtId="0" fontId="22" fillId="0" borderId="0" xfId="0" applyFont="1"/>
    <xf numFmtId="0" fontId="30" fillId="0" borderId="31" xfId="20" applyFont="1" applyBorder="1" applyAlignment="1">
      <alignment horizontal="center" vertical="center"/>
    </xf>
    <xf numFmtId="0" fontId="30" fillId="0" borderId="31" xfId="0" applyFont="1" applyBorder="1" applyAlignment="1">
      <alignment horizontal="center" vertical="center"/>
    </xf>
    <xf numFmtId="0" fontId="22" fillId="0" borderId="78" xfId="0" applyFont="1" applyBorder="1" applyAlignment="1">
      <alignment horizontal="center"/>
    </xf>
    <xf numFmtId="0" fontId="21" fillId="0" borderId="79" xfId="0" applyFont="1" applyBorder="1" applyAlignment="1">
      <alignment horizontal="center"/>
    </xf>
    <xf numFmtId="0" fontId="22" fillId="0" borderId="79" xfId="0" applyFont="1" applyBorder="1" applyAlignment="1">
      <alignment vertical="center"/>
    </xf>
    <xf numFmtId="0" fontId="22" fillId="0" borderId="92" xfId="0" applyFont="1" applyBorder="1" applyAlignment="1">
      <alignment vertical="center"/>
    </xf>
    <xf numFmtId="0" fontId="30" fillId="0" borderId="31" xfId="0" applyFont="1" applyBorder="1" applyAlignment="1">
      <alignment vertical="center"/>
    </xf>
    <xf numFmtId="0" fontId="22" fillId="0" borderId="94" xfId="0" applyFont="1" applyBorder="1" applyAlignment="1">
      <alignment horizontal="center"/>
    </xf>
    <xf numFmtId="0" fontId="21" fillId="0" borderId="84" xfId="0" applyFont="1" applyBorder="1" applyAlignment="1">
      <alignment horizontal="center"/>
    </xf>
    <xf numFmtId="0" fontId="22" fillId="0" borderId="84" xfId="0" applyFont="1" applyBorder="1" applyAlignment="1">
      <alignment horizontal="right" vertical="center"/>
    </xf>
    <xf numFmtId="0" fontId="22" fillId="0" borderId="33" xfId="0" applyFont="1" applyBorder="1" applyAlignment="1">
      <alignment horizontal="center" vertical="center"/>
    </xf>
    <xf numFmtId="0" fontId="22" fillId="0" borderId="34" xfId="0" applyFont="1" applyBorder="1" applyAlignment="1">
      <alignment horizontal="center" vertical="center"/>
    </xf>
    <xf numFmtId="0" fontId="22" fillId="0" borderId="81" xfId="0" applyFont="1" applyBorder="1" applyAlignment="1">
      <alignment horizontal="center"/>
    </xf>
    <xf numFmtId="0" fontId="21" fillId="0" borderId="0" xfId="0" applyFont="1" applyAlignment="1">
      <alignment horizontal="center"/>
    </xf>
    <xf numFmtId="0" fontId="22" fillId="0" borderId="0" xfId="0" applyFont="1" applyAlignment="1">
      <alignment horizontal="right" vertical="center"/>
    </xf>
    <xf numFmtId="1" fontId="22" fillId="0" borderId="19" xfId="0" applyNumberFormat="1" applyFont="1" applyBorder="1" applyAlignment="1">
      <alignment horizontal="center" vertical="center"/>
    </xf>
    <xf numFmtId="1" fontId="22" fillId="0" borderId="42" xfId="0" applyNumberFormat="1" applyFont="1" applyBorder="1" applyAlignment="1">
      <alignment horizontal="center" vertical="center"/>
    </xf>
    <xf numFmtId="1" fontId="30" fillId="0" borderId="31" xfId="0" applyNumberFormat="1" applyFont="1" applyBorder="1" applyAlignment="1">
      <alignment horizontal="center" vertical="center"/>
    </xf>
    <xf numFmtId="1" fontId="22" fillId="0" borderId="95" xfId="0" applyNumberFormat="1" applyFont="1" applyBorder="1" applyAlignment="1">
      <alignment horizontal="center" vertical="center"/>
    </xf>
    <xf numFmtId="0" fontId="22" fillId="0" borderId="71" xfId="0" applyFont="1" applyBorder="1" applyAlignment="1">
      <alignment horizontal="left"/>
    </xf>
    <xf numFmtId="0" fontId="22" fillId="0" borderId="72" xfId="0" applyFont="1" applyBorder="1" applyAlignment="1">
      <alignment horizontal="center"/>
    </xf>
    <xf numFmtId="0" fontId="22" fillId="0" borderId="73" xfId="0" applyFont="1" applyBorder="1" applyAlignment="1">
      <alignment horizontal="center"/>
    </xf>
    <xf numFmtId="0" fontId="30" fillId="0" borderId="31" xfId="0" applyFont="1" applyBorder="1" applyAlignment="1">
      <alignment horizontal="center"/>
    </xf>
    <xf numFmtId="0" fontId="22" fillId="0" borderId="60" xfId="0" applyFont="1" applyBorder="1"/>
    <xf numFmtId="0" fontId="22" fillId="0" borderId="49" xfId="0" applyFont="1" applyBorder="1"/>
    <xf numFmtId="0" fontId="22" fillId="0" borderId="96" xfId="0" applyFont="1" applyBorder="1"/>
    <xf numFmtId="0" fontId="22" fillId="0" borderId="94" xfId="0" applyFont="1" applyBorder="1"/>
    <xf numFmtId="0" fontId="22" fillId="0" borderId="84" xfId="0" applyFont="1" applyBorder="1"/>
    <xf numFmtId="0" fontId="22" fillId="0" borderId="88" xfId="0" applyFont="1" applyBorder="1"/>
    <xf numFmtId="0" fontId="40" fillId="0" borderId="31" xfId="0" applyFont="1" applyBorder="1" applyAlignment="1" applyProtection="1">
      <alignment horizontal="center"/>
      <protection locked="0"/>
    </xf>
    <xf numFmtId="0" fontId="22" fillId="0" borderId="81" xfId="0" applyFont="1" applyBorder="1"/>
    <xf numFmtId="0" fontId="22" fillId="0" borderId="95" xfId="0" applyFont="1" applyBorder="1"/>
    <xf numFmtId="0" fontId="21" fillId="8" borderId="97" xfId="0" applyFont="1" applyFill="1" applyBorder="1" applyAlignment="1">
      <alignment horizontal="center" vertical="center"/>
    </xf>
    <xf numFmtId="0" fontId="40" fillId="0" borderId="31" xfId="0" applyFont="1" applyBorder="1" applyAlignment="1">
      <alignment horizontal="center" vertical="center"/>
    </xf>
    <xf numFmtId="0" fontId="22" fillId="8" borderId="98" xfId="0" applyFont="1" applyFill="1" applyBorder="1" applyAlignment="1">
      <alignment horizontal="center" vertical="center"/>
    </xf>
    <xf numFmtId="4" fontId="22" fillId="8" borderId="98" xfId="0" applyNumberFormat="1" applyFont="1" applyFill="1" applyBorder="1" applyAlignment="1">
      <alignment horizontal="center" vertical="center"/>
    </xf>
    <xf numFmtId="4" fontId="29" fillId="0" borderId="31" xfId="0" applyNumberFormat="1" applyFont="1" applyBorder="1" applyAlignment="1">
      <alignment horizontal="center" vertical="center"/>
    </xf>
    <xf numFmtId="0" fontId="40" fillId="0" borderId="31" xfId="0" applyFont="1" applyBorder="1" applyAlignment="1">
      <alignment horizontal="left" vertical="center"/>
    </xf>
    <xf numFmtId="0" fontId="21" fillId="8" borderId="33" xfId="0" applyFont="1" applyFill="1" applyBorder="1" applyAlignment="1">
      <alignment horizontal="center"/>
    </xf>
    <xf numFmtId="0" fontId="21" fillId="8" borderId="34" xfId="0" applyFont="1" applyFill="1" applyBorder="1" applyAlignment="1">
      <alignment horizontal="center"/>
    </xf>
    <xf numFmtId="0" fontId="40" fillId="0" borderId="31" xfId="0" applyFont="1" applyBorder="1" applyAlignment="1">
      <alignment horizontal="center"/>
    </xf>
    <xf numFmtId="164" fontId="22" fillId="0" borderId="19" xfId="2" applyFont="1" applyBorder="1"/>
    <xf numFmtId="164" fontId="22" fillId="0" borderId="42" xfId="2" applyFont="1" applyBorder="1"/>
    <xf numFmtId="164" fontId="29" fillId="0" borderId="31" xfId="2" applyFont="1" applyFill="1" applyBorder="1"/>
    <xf numFmtId="0" fontId="22" fillId="0" borderId="78" xfId="0" applyFont="1" applyBorder="1"/>
    <xf numFmtId="0" fontId="22" fillId="0" borderId="79" xfId="0" applyFont="1" applyBorder="1"/>
    <xf numFmtId="0" fontId="22" fillId="0" borderId="80" xfId="0" applyFont="1" applyBorder="1"/>
    <xf numFmtId="0" fontId="22" fillId="0" borderId="91" xfId="0" applyFont="1" applyBorder="1"/>
    <xf numFmtId="164" fontId="22" fillId="0" borderId="53" xfId="2" applyFont="1" applyBorder="1"/>
    <xf numFmtId="186" fontId="22" fillId="0" borderId="8" xfId="0" applyNumberFormat="1" applyFont="1" applyBorder="1"/>
    <xf numFmtId="186" fontId="29" fillId="0" borderId="31" xfId="0" applyNumberFormat="1" applyFont="1" applyBorder="1"/>
    <xf numFmtId="0" fontId="21" fillId="8" borderId="64" xfId="0" applyFont="1" applyFill="1" applyBorder="1" applyAlignment="1">
      <alignment horizontal="center"/>
    </xf>
    <xf numFmtId="0" fontId="22" fillId="0" borderId="69" xfId="0" applyFont="1" applyBorder="1" applyAlignment="1">
      <alignment horizontal="center"/>
    </xf>
    <xf numFmtId="2" fontId="22" fillId="0" borderId="19" xfId="0" applyNumberFormat="1" applyFont="1" applyBorder="1"/>
    <xf numFmtId="0" fontId="22" fillId="0" borderId="36" xfId="0" applyFont="1" applyBorder="1"/>
    <xf numFmtId="164" fontId="22" fillId="0" borderId="37" xfId="2" applyFont="1" applyBorder="1"/>
    <xf numFmtId="164" fontId="22" fillId="0" borderId="8" xfId="2" applyFont="1" applyBorder="1"/>
    <xf numFmtId="0" fontId="21" fillId="8" borderId="57" xfId="0" applyFont="1" applyFill="1" applyBorder="1" applyAlignment="1">
      <alignment horizontal="center"/>
    </xf>
    <xf numFmtId="0" fontId="21" fillId="8" borderId="33" xfId="0" applyFont="1" applyFill="1" applyBorder="1"/>
    <xf numFmtId="2" fontId="22" fillId="0" borderId="19" xfId="0" applyNumberFormat="1" applyFont="1" applyBorder="1" applyAlignment="1">
      <alignment horizontal="center"/>
    </xf>
    <xf numFmtId="2" fontId="22" fillId="0" borderId="69" xfId="0" applyNumberFormat="1" applyFont="1" applyBorder="1" applyAlignment="1">
      <alignment horizontal="center"/>
    </xf>
    <xf numFmtId="0" fontId="22" fillId="0" borderId="53" xfId="0" applyFont="1" applyBorder="1"/>
    <xf numFmtId="0" fontId="22" fillId="0" borderId="44" xfId="0" applyFont="1" applyBorder="1"/>
    <xf numFmtId="164" fontId="22" fillId="0" borderId="46" xfId="2" applyFont="1" applyBorder="1"/>
    <xf numFmtId="0" fontId="21" fillId="8" borderId="57" xfId="0" applyFont="1" applyFill="1" applyBorder="1" applyAlignment="1">
      <alignment horizontal="center" wrapText="1"/>
    </xf>
    <xf numFmtId="0" fontId="21" fillId="8" borderId="33" xfId="0" applyFont="1" applyFill="1" applyBorder="1" applyAlignment="1">
      <alignment horizontal="center" wrapText="1"/>
    </xf>
    <xf numFmtId="0" fontId="21" fillId="8" borderId="34" xfId="0" applyFont="1" applyFill="1" applyBorder="1" applyAlignment="1">
      <alignment horizontal="center" wrapText="1"/>
    </xf>
    <xf numFmtId="0" fontId="40" fillId="0" borderId="31" xfId="0" applyFont="1" applyBorder="1" applyAlignment="1">
      <alignment horizontal="center" wrapText="1"/>
    </xf>
    <xf numFmtId="0" fontId="22" fillId="0" borderId="59" xfId="0" applyFont="1" applyBorder="1" applyAlignment="1">
      <alignment horizontal="left"/>
    </xf>
    <xf numFmtId="0" fontId="22" fillId="0" borderId="69" xfId="0" applyFont="1" applyBorder="1" applyAlignment="1">
      <alignment horizontal="left"/>
    </xf>
    <xf numFmtId="164" fontId="22" fillId="0" borderId="19" xfId="2" applyFont="1" applyBorder="1" applyAlignment="1">
      <alignment horizontal="center"/>
    </xf>
    <xf numFmtId="0" fontId="22" fillId="0" borderId="69" xfId="1" applyNumberFormat="1" applyFont="1" applyBorder="1" applyAlignment="1">
      <alignment horizontal="center"/>
    </xf>
    <xf numFmtId="164" fontId="22" fillId="0" borderId="68" xfId="0" applyNumberFormat="1" applyFont="1" applyBorder="1" applyAlignment="1">
      <alignment horizontal="center" wrapText="1"/>
    </xf>
    <xf numFmtId="164" fontId="22" fillId="0" borderId="40" xfId="2" applyFont="1" applyBorder="1" applyAlignment="1">
      <alignment horizontal="center" wrapText="1"/>
    </xf>
    <xf numFmtId="164" fontId="29" fillId="0" borderId="31" xfId="2" applyFont="1" applyFill="1" applyBorder="1" applyAlignment="1">
      <alignment horizontal="center" wrapText="1"/>
    </xf>
    <xf numFmtId="164" fontId="22" fillId="8" borderId="8" xfId="0" applyNumberFormat="1" applyFont="1" applyFill="1" applyBorder="1"/>
    <xf numFmtId="164" fontId="29" fillId="0" borderId="31" xfId="0" applyNumberFormat="1" applyFont="1" applyBorder="1"/>
    <xf numFmtId="0" fontId="21" fillId="8" borderId="58" xfId="0" applyFont="1" applyFill="1" applyBorder="1" applyAlignment="1">
      <alignment horizontal="center" wrapText="1"/>
    </xf>
    <xf numFmtId="43" fontId="22" fillId="0" borderId="69" xfId="2" applyNumberFormat="1" applyFont="1" applyBorder="1"/>
    <xf numFmtId="9" fontId="22" fillId="0" borderId="75" xfId="1" applyFont="1" applyBorder="1"/>
    <xf numFmtId="9" fontId="22" fillId="0" borderId="19" xfId="1" applyFont="1" applyBorder="1" applyAlignment="1">
      <alignment horizontal="center"/>
    </xf>
    <xf numFmtId="43" fontId="22" fillId="0" borderId="42" xfId="2" applyNumberFormat="1" applyFont="1" applyBorder="1"/>
    <xf numFmtId="43" fontId="29" fillId="0" borderId="31" xfId="2" applyNumberFormat="1" applyFont="1" applyFill="1" applyBorder="1"/>
    <xf numFmtId="43" fontId="22" fillId="0" borderId="49" xfId="2" applyNumberFormat="1" applyFont="1" applyBorder="1"/>
    <xf numFmtId="9" fontId="22" fillId="0" borderId="50" xfId="1" applyFont="1" applyBorder="1"/>
    <xf numFmtId="43" fontId="22" fillId="0" borderId="8" xfId="0" applyNumberFormat="1" applyFont="1" applyBorder="1"/>
    <xf numFmtId="43" fontId="29" fillId="0" borderId="31" xfId="0" applyNumberFormat="1" applyFont="1" applyBorder="1"/>
    <xf numFmtId="43" fontId="22" fillId="8" borderId="8" xfId="0" applyNumberFormat="1" applyFont="1" applyFill="1" applyBorder="1"/>
    <xf numFmtId="0" fontId="22" fillId="0" borderId="72" xfId="0" applyFont="1" applyBorder="1"/>
    <xf numFmtId="0" fontId="27" fillId="0" borderId="31" xfId="0" applyFont="1" applyBorder="1"/>
    <xf numFmtId="0" fontId="22" fillId="0" borderId="0" xfId="0" applyFont="1" applyAlignment="1">
      <alignment horizontal="center"/>
    </xf>
    <xf numFmtId="0" fontId="22" fillId="0" borderId="95" xfId="0" applyFont="1" applyBorder="1" applyAlignment="1">
      <alignment horizontal="center"/>
    </xf>
    <xf numFmtId="0" fontId="29" fillId="0" borderId="31" xfId="0" applyFont="1" applyBorder="1" applyAlignment="1">
      <alignment horizontal="center"/>
    </xf>
    <xf numFmtId="0" fontId="21" fillId="0" borderId="59" xfId="0" applyFont="1" applyBorder="1"/>
    <xf numFmtId="0" fontId="22" fillId="0" borderId="69" xfId="0" applyFont="1" applyBorder="1"/>
    <xf numFmtId="0" fontId="22" fillId="0" borderId="70" xfId="0" applyFont="1" applyBorder="1"/>
    <xf numFmtId="0" fontId="21" fillId="0" borderId="81" xfId="0" applyFont="1" applyBorder="1" applyAlignment="1">
      <alignment horizontal="left"/>
    </xf>
    <xf numFmtId="0" fontId="3" fillId="0" borderId="31" xfId="0" applyFont="1" applyBorder="1" applyAlignment="1">
      <alignment wrapText="1"/>
    </xf>
    <xf numFmtId="0" fontId="22" fillId="0" borderId="0" xfId="0" applyFont="1" applyAlignment="1">
      <alignment horizontal="left"/>
    </xf>
    <xf numFmtId="0" fontId="22" fillId="0" borderId="81" xfId="0" applyFont="1" applyBorder="1" applyAlignment="1">
      <alignment horizontal="left"/>
    </xf>
    <xf numFmtId="0" fontId="17" fillId="0" borderId="31" xfId="0" applyFont="1" applyBorder="1" applyAlignment="1">
      <alignment horizontal="right"/>
    </xf>
    <xf numFmtId="0" fontId="29" fillId="0" borderId="61" xfId="0" applyFont="1" applyBorder="1"/>
    <xf numFmtId="0" fontId="29" fillId="0" borderId="62" xfId="0" applyFont="1" applyBorder="1"/>
    <xf numFmtId="0" fontId="29" fillId="0" borderId="63" xfId="0" applyFont="1" applyBorder="1"/>
    <xf numFmtId="171" fontId="17" fillId="0" borderId="19" xfId="7" applyNumberFormat="1" applyFont="1" applyBorder="1" applyAlignment="1">
      <alignment horizontal="right" vertical="center" wrapText="1"/>
    </xf>
    <xf numFmtId="0" fontId="17" fillId="0" borderId="19" xfId="8" applyNumberFormat="1" applyFont="1" applyBorder="1" applyAlignment="1">
      <alignment horizontal="center" vertical="center" wrapText="1"/>
    </xf>
    <xf numFmtId="171" fontId="17" fillId="0" borderId="68" xfId="7" applyNumberFormat="1" applyFont="1" applyBorder="1" applyAlignment="1">
      <alignment horizontal="right" vertical="center" wrapText="1"/>
    </xf>
    <xf numFmtId="0" fontId="17" fillId="0" borderId="19" xfId="5" applyFont="1" applyBorder="1" applyAlignment="1">
      <alignment horizontal="center" vertical="center"/>
    </xf>
    <xf numFmtId="176" fontId="26" fillId="5" borderId="45" xfId="5" applyNumberFormat="1" applyFont="1" applyFill="1" applyBorder="1" applyAlignment="1">
      <alignment vertical="center"/>
    </xf>
    <xf numFmtId="0" fontId="24" fillId="0" borderId="0" xfId="9" applyFont="1"/>
    <xf numFmtId="0" fontId="24" fillId="0" borderId="30" xfId="9" applyFont="1" applyBorder="1"/>
    <xf numFmtId="0" fontId="24" fillId="0" borderId="31" xfId="9" applyFont="1" applyBorder="1"/>
    <xf numFmtId="0" fontId="40" fillId="0" borderId="0" xfId="9" applyFont="1"/>
    <xf numFmtId="0" fontId="17" fillId="0" borderId="81" xfId="5" applyFont="1" applyBorder="1" applyAlignment="1">
      <alignment horizontal="left" vertical="center"/>
    </xf>
    <xf numFmtId="4" fontId="17" fillId="0" borderId="102" xfId="8" applyNumberFormat="1" applyFont="1" applyBorder="1" applyAlignment="1">
      <alignment vertical="center" wrapText="1"/>
    </xf>
    <xf numFmtId="0" fontId="17" fillId="0" borderId="68" xfId="5" applyFont="1" applyBorder="1" applyAlignment="1">
      <alignment horizontal="center" vertical="center"/>
    </xf>
    <xf numFmtId="4" fontId="17" fillId="0" borderId="93" xfId="8" applyNumberFormat="1" applyFont="1" applyBorder="1" applyAlignment="1">
      <alignment vertical="center" wrapText="1"/>
    </xf>
    <xf numFmtId="49" fontId="17" fillId="0" borderId="19" xfId="6" applyNumberFormat="1" applyFont="1" applyBorder="1" applyAlignment="1">
      <alignment horizontal="center" vertical="center"/>
    </xf>
    <xf numFmtId="49" fontId="17" fillId="0" borderId="68" xfId="6" applyNumberFormat="1" applyFont="1" applyBorder="1" applyAlignment="1">
      <alignment horizontal="center" vertical="center"/>
    </xf>
    <xf numFmtId="0" fontId="17" fillId="0" borderId="68" xfId="8" applyNumberFormat="1" applyFont="1" applyBorder="1" applyAlignment="1">
      <alignment horizontal="center" vertical="center" wrapText="1"/>
    </xf>
    <xf numFmtId="0" fontId="17" fillId="0" borderId="19" xfId="5" applyFont="1" applyBorder="1" applyAlignment="1">
      <alignment horizontal="left" vertical="center" wrapText="1"/>
    </xf>
    <xf numFmtId="0" fontId="17" fillId="0" borderId="68" xfId="5" applyFont="1" applyBorder="1" applyAlignment="1">
      <alignment horizontal="left" vertical="center" wrapText="1"/>
    </xf>
    <xf numFmtId="2" fontId="17" fillId="0" borderId="0" xfId="5" applyNumberFormat="1" applyFont="1" applyAlignment="1">
      <alignment horizontal="center" vertical="center"/>
    </xf>
    <xf numFmtId="0" fontId="42" fillId="11" borderId="104" xfId="0" applyFont="1" applyFill="1" applyBorder="1" applyAlignment="1">
      <alignment horizontal="center" vertical="center" wrapText="1"/>
    </xf>
    <xf numFmtId="6" fontId="42" fillId="11" borderId="104" xfId="0" applyNumberFormat="1" applyFont="1" applyFill="1" applyBorder="1" applyAlignment="1">
      <alignment horizontal="right" wrapText="1"/>
    </xf>
    <xf numFmtId="49" fontId="0" fillId="0" borderId="0" xfId="0" applyNumberFormat="1"/>
    <xf numFmtId="0" fontId="17" fillId="0" borderId="19" xfId="6" applyFont="1" applyBorder="1" applyAlignment="1">
      <alignment horizontal="center" vertical="center"/>
    </xf>
    <xf numFmtId="0" fontId="17" fillId="0" borderId="68" xfId="6" applyFont="1" applyBorder="1" applyAlignment="1">
      <alignment horizontal="center" vertical="center"/>
    </xf>
    <xf numFmtId="0" fontId="27" fillId="5" borderId="81" xfId="9" applyFont="1" applyFill="1" applyBorder="1"/>
    <xf numFmtId="0" fontId="27" fillId="5" borderId="95" xfId="9" applyFont="1" applyFill="1" applyBorder="1"/>
    <xf numFmtId="0" fontId="40" fillId="5" borderId="81" xfId="9" applyFont="1" applyFill="1" applyBorder="1"/>
    <xf numFmtId="0" fontId="40" fillId="5" borderId="95" xfId="9" applyFont="1" applyFill="1" applyBorder="1"/>
    <xf numFmtId="44" fontId="24" fillId="5" borderId="43" xfId="9" applyNumberFormat="1" applyFont="1" applyFill="1" applyBorder="1"/>
    <xf numFmtId="44" fontId="24" fillId="5" borderId="94" xfId="21" applyFont="1" applyFill="1" applyBorder="1"/>
    <xf numFmtId="44" fontId="24" fillId="5" borderId="88" xfId="21" applyFont="1" applyFill="1" applyBorder="1"/>
    <xf numFmtId="44" fontId="24" fillId="5" borderId="81" xfId="21" applyFont="1" applyFill="1" applyBorder="1"/>
    <xf numFmtId="44" fontId="24" fillId="5" borderId="95" xfId="21" applyFont="1" applyFill="1" applyBorder="1"/>
    <xf numFmtId="0" fontId="43" fillId="9" borderId="0" xfId="0" applyFont="1" applyFill="1" applyAlignment="1">
      <alignment horizontal="right" wrapText="1"/>
    </xf>
    <xf numFmtId="49" fontId="43" fillId="11" borderId="104" xfId="0" applyNumberFormat="1" applyFont="1" applyFill="1" applyBorder="1" applyAlignment="1">
      <alignment horizontal="left" wrapText="1"/>
    </xf>
    <xf numFmtId="0" fontId="43" fillId="11" borderId="104" xfId="0" applyFont="1" applyFill="1" applyBorder="1" applyAlignment="1">
      <alignment horizontal="left" wrapText="1"/>
    </xf>
    <xf numFmtId="0" fontId="43" fillId="11" borderId="104" xfId="0" applyFont="1" applyFill="1" applyBorder="1" applyAlignment="1">
      <alignment horizontal="center" wrapText="1"/>
    </xf>
    <xf numFmtId="0" fontId="43" fillId="11" borderId="104" xfId="0" applyFont="1" applyFill="1" applyBorder="1" applyAlignment="1">
      <alignment horizontal="right" wrapText="1"/>
    </xf>
    <xf numFmtId="0" fontId="44" fillId="9" borderId="0" xfId="0" applyFont="1" applyFill="1" applyAlignment="1">
      <alignment horizontal="center" vertical="center" wrapText="1"/>
    </xf>
    <xf numFmtId="49" fontId="45" fillId="12" borderId="106" xfId="0" applyNumberFormat="1" applyFont="1" applyFill="1" applyBorder="1" applyAlignment="1">
      <alignment horizontal="center" vertical="center" wrapText="1"/>
    </xf>
    <xf numFmtId="0" fontId="45" fillId="12" borderId="106" xfId="0" applyFont="1" applyFill="1" applyBorder="1" applyAlignment="1">
      <alignment horizontal="center" vertical="center" wrapText="1"/>
    </xf>
    <xf numFmtId="49" fontId="44" fillId="9" borderId="105" xfId="0" applyNumberFormat="1" applyFont="1" applyFill="1" applyBorder="1" applyAlignment="1">
      <alignment horizontal="center" vertical="center" wrapText="1"/>
    </xf>
    <xf numFmtId="0" fontId="43" fillId="9" borderId="105" xfId="0" applyFont="1" applyFill="1" applyBorder="1" applyAlignment="1">
      <alignment horizontal="center" vertical="center" wrapText="1"/>
    </xf>
    <xf numFmtId="0" fontId="44" fillId="9" borderId="105" xfId="0" applyFont="1" applyFill="1" applyBorder="1" applyAlignment="1">
      <alignment horizontal="center" vertical="center" wrapText="1"/>
    </xf>
    <xf numFmtId="0" fontId="44" fillId="9" borderId="103" xfId="0" applyFont="1" applyFill="1" applyBorder="1" applyAlignment="1">
      <alignment horizontal="center" vertical="center" wrapText="1"/>
    </xf>
    <xf numFmtId="0" fontId="46" fillId="9" borderId="0" xfId="0" applyFont="1" applyFill="1" applyAlignment="1">
      <alignment horizontal="right" wrapText="1"/>
    </xf>
    <xf numFmtId="49" fontId="46" fillId="10" borderId="104" xfId="0" applyNumberFormat="1" applyFont="1" applyFill="1" applyBorder="1" applyAlignment="1">
      <alignment horizontal="left" wrapText="1"/>
    </xf>
    <xf numFmtId="0" fontId="46" fillId="10" borderId="104" xfId="0" applyFont="1" applyFill="1" applyBorder="1" applyAlignment="1">
      <alignment horizontal="left" wrapText="1"/>
    </xf>
    <xf numFmtId="0" fontId="47" fillId="10" borderId="104" xfId="0" applyFont="1" applyFill="1" applyBorder="1" applyAlignment="1">
      <alignment horizontal="center" wrapText="1"/>
    </xf>
    <xf numFmtId="6" fontId="47" fillId="10" borderId="104" xfId="0" applyNumberFormat="1" applyFont="1" applyFill="1" applyBorder="1" applyAlignment="1">
      <alignment horizontal="right" wrapText="1"/>
    </xf>
    <xf numFmtId="49" fontId="46" fillId="10" borderId="103" xfId="0" applyNumberFormat="1" applyFont="1" applyFill="1" applyBorder="1" applyAlignment="1">
      <alignment horizontal="left" wrapText="1"/>
    </xf>
    <xf numFmtId="0" fontId="46" fillId="10" borderId="103" xfId="0" applyFont="1" applyFill="1" applyBorder="1" applyAlignment="1">
      <alignment horizontal="left" wrapText="1"/>
    </xf>
    <xf numFmtId="0" fontId="47" fillId="10" borderId="103" xfId="0" applyFont="1" applyFill="1" applyBorder="1" applyAlignment="1">
      <alignment horizontal="center" wrapText="1"/>
    </xf>
    <xf numFmtId="6" fontId="47" fillId="10" borderId="103" xfId="0" applyNumberFormat="1" applyFont="1" applyFill="1" applyBorder="1" applyAlignment="1">
      <alignment horizontal="right" wrapText="1"/>
    </xf>
    <xf numFmtId="0" fontId="16" fillId="0" borderId="0" xfId="14" applyFont="1" applyAlignment="1">
      <alignment vertical="center"/>
    </xf>
    <xf numFmtId="44" fontId="16" fillId="0" borderId="0" xfId="21" applyFont="1" applyBorder="1" applyAlignment="1">
      <alignment vertical="center"/>
    </xf>
    <xf numFmtId="44" fontId="16" fillId="0" borderId="0" xfId="21" applyFont="1" applyBorder="1"/>
    <xf numFmtId="6" fontId="29" fillId="0" borderId="0" xfId="9" applyNumberFormat="1" applyFont="1"/>
    <xf numFmtId="0" fontId="24" fillId="5" borderId="45" xfId="9" applyFont="1" applyFill="1" applyBorder="1"/>
    <xf numFmtId="44" fontId="0" fillId="0" borderId="0" xfId="21" applyFont="1" applyAlignment="1">
      <alignment vertical="center"/>
    </xf>
    <xf numFmtId="44" fontId="0" fillId="0" borderId="0" xfId="0" applyNumberFormat="1" applyAlignment="1">
      <alignment vertical="center"/>
    </xf>
    <xf numFmtId="44" fontId="24" fillId="5" borderId="8" xfId="21" applyFont="1" applyFill="1" applyBorder="1"/>
    <xf numFmtId="44" fontId="16" fillId="0" borderId="0" xfId="21" applyFont="1"/>
    <xf numFmtId="44" fontId="8" fillId="0" borderId="0" xfId="21" applyFont="1" applyAlignment="1">
      <alignment horizontal="center" vertical="center" wrapText="1"/>
    </xf>
    <xf numFmtId="44" fontId="0" fillId="0" borderId="0" xfId="21" applyFont="1" applyAlignment="1">
      <alignment horizontal="center" vertical="center"/>
    </xf>
    <xf numFmtId="44" fontId="0" fillId="0" borderId="0" xfId="21" applyFont="1" applyAlignment="1">
      <alignment horizontal="center" vertical="center" wrapText="1"/>
    </xf>
    <xf numFmtId="44" fontId="16" fillId="0" borderId="0" xfId="21" applyFont="1" applyAlignment="1">
      <alignment horizontal="center"/>
    </xf>
    <xf numFmtId="44" fontId="2" fillId="0" borderId="0" xfId="21" applyFont="1" applyAlignment="1">
      <alignment horizontal="center" vertical="center"/>
    </xf>
    <xf numFmtId="49" fontId="0" fillId="0" borderId="0" xfId="21" applyNumberFormat="1" applyFont="1" applyAlignment="1">
      <alignment horizontal="center" vertical="center"/>
    </xf>
    <xf numFmtId="0" fontId="50" fillId="0" borderId="36" xfId="6" applyFont="1" applyBorder="1" applyAlignment="1">
      <alignment horizontal="center" vertical="center" wrapText="1"/>
    </xf>
    <xf numFmtId="0" fontId="17" fillId="0" borderId="39" xfId="8" applyNumberFormat="1" applyFont="1" applyBorder="1" applyAlignment="1">
      <alignment horizontal="center" vertical="center" wrapText="1"/>
    </xf>
    <xf numFmtId="0" fontId="24" fillId="5" borderId="84" xfId="5" applyFont="1" applyFill="1" applyBorder="1" applyAlignment="1">
      <alignment vertical="center"/>
    </xf>
    <xf numFmtId="0" fontId="24" fillId="5" borderId="88" xfId="5" applyFont="1" applyFill="1" applyBorder="1" applyAlignment="1">
      <alignment vertical="center"/>
    </xf>
    <xf numFmtId="0" fontId="24" fillId="0" borderId="43" xfId="5" applyFont="1" applyBorder="1" applyAlignment="1">
      <alignment horizontal="right" vertical="center"/>
    </xf>
    <xf numFmtId="0" fontId="24" fillId="0" borderId="44" xfId="5" applyFont="1" applyBorder="1" applyAlignment="1">
      <alignment horizontal="right" vertical="center"/>
    </xf>
    <xf numFmtId="176" fontId="26" fillId="0" borderId="45" xfId="5" applyNumberFormat="1" applyFont="1" applyBorder="1" applyAlignment="1">
      <alignment vertical="center"/>
    </xf>
    <xf numFmtId="44" fontId="16" fillId="0" borderId="0" xfId="21" applyFont="1" applyFill="1" applyBorder="1"/>
    <xf numFmtId="44" fontId="16" fillId="0" borderId="0" xfId="21" applyFont="1" applyFill="1" applyBorder="1" applyAlignment="1">
      <alignment vertical="center"/>
    </xf>
    <xf numFmtId="0" fontId="51" fillId="4" borderId="0" xfId="9" applyFont="1" applyFill="1" applyAlignment="1">
      <alignment horizontal="center"/>
    </xf>
    <xf numFmtId="0" fontId="52" fillId="0" borderId="0" xfId="3" applyFont="1"/>
    <xf numFmtId="0" fontId="53" fillId="0" borderId="0" xfId="0" applyFont="1"/>
    <xf numFmtId="183" fontId="17" fillId="0" borderId="0" xfId="2" applyNumberFormat="1" applyFont="1" applyBorder="1"/>
    <xf numFmtId="0" fontId="24" fillId="5" borderId="3" xfId="5" applyFont="1" applyFill="1" applyBorder="1" applyAlignment="1">
      <alignment horizontal="center" vertical="center"/>
    </xf>
    <xf numFmtId="0" fontId="24" fillId="5" borderId="4" xfId="5" applyFont="1" applyFill="1" applyBorder="1" applyAlignment="1">
      <alignment horizontal="center" vertical="center"/>
    </xf>
    <xf numFmtId="0" fontId="24" fillId="5" borderId="5" xfId="5" applyFont="1" applyFill="1" applyBorder="1" applyAlignment="1">
      <alignment horizontal="center" vertical="center"/>
    </xf>
    <xf numFmtId="0" fontId="21" fillId="8" borderId="43" xfId="5" applyFont="1" applyFill="1" applyBorder="1" applyAlignment="1">
      <alignment horizontal="center" vertical="center" wrapText="1"/>
    </xf>
    <xf numFmtId="0" fontId="21" fillId="8" borderId="44" xfId="5" applyFont="1" applyFill="1" applyBorder="1" applyAlignment="1">
      <alignment horizontal="center" vertical="center" wrapText="1"/>
    </xf>
    <xf numFmtId="0" fontId="21" fillId="8" borderId="45" xfId="5" applyFont="1" applyFill="1" applyBorder="1" applyAlignment="1">
      <alignment horizontal="center" vertical="center" wrapText="1"/>
    </xf>
    <xf numFmtId="4" fontId="24" fillId="6" borderId="34" xfId="5" applyNumberFormat="1" applyFont="1" applyFill="1" applyBorder="1" applyAlignment="1">
      <alignment horizontal="center" vertical="center" wrapText="1"/>
    </xf>
    <xf numFmtId="4" fontId="24" fillId="6" borderId="37" xfId="5" applyNumberFormat="1" applyFont="1" applyFill="1" applyBorder="1" applyAlignment="1">
      <alignment horizontal="center" vertical="center" wrapText="1"/>
    </xf>
    <xf numFmtId="0" fontId="24" fillId="6" borderId="32" xfId="5" applyFont="1" applyFill="1" applyBorder="1" applyAlignment="1">
      <alignment horizontal="center" vertical="center" wrapText="1"/>
    </xf>
    <xf numFmtId="0" fontId="24" fillId="6" borderId="35" xfId="5" applyFont="1" applyFill="1" applyBorder="1" applyAlignment="1">
      <alignment horizontal="center" vertical="center" wrapText="1"/>
    </xf>
    <xf numFmtId="0" fontId="30" fillId="0" borderId="65" xfId="3" applyFont="1" applyBorder="1" applyAlignment="1">
      <alignment horizontal="center" wrapText="1"/>
    </xf>
    <xf numFmtId="0" fontId="21" fillId="0" borderId="0" xfId="4" applyFont="1" applyAlignment="1">
      <alignment horizontal="center" vertical="top"/>
    </xf>
    <xf numFmtId="0" fontId="21" fillId="0" borderId="44" xfId="4" applyFont="1" applyBorder="1" applyAlignment="1">
      <alignment horizontal="center"/>
    </xf>
    <xf numFmtId="0" fontId="22" fillId="7" borderId="38" xfId="3" applyFont="1" applyFill="1" applyBorder="1" applyAlignment="1">
      <alignment horizontal="left" vertical="center" wrapText="1"/>
    </xf>
    <xf numFmtId="0" fontId="22" fillId="7" borderId="68" xfId="3" applyFont="1" applyFill="1" applyBorder="1" applyAlignment="1">
      <alignment horizontal="left" vertical="center" wrapText="1"/>
    </xf>
    <xf numFmtId="0" fontId="22" fillId="7" borderId="40" xfId="3" applyFont="1" applyFill="1" applyBorder="1" applyAlignment="1">
      <alignment horizontal="left" vertical="center" wrapText="1"/>
    </xf>
    <xf numFmtId="0" fontId="22" fillId="7" borderId="41" xfId="3" applyFont="1" applyFill="1" applyBorder="1" applyAlignment="1">
      <alignment horizontal="left" vertical="center" wrapText="1"/>
    </xf>
    <xf numFmtId="0" fontId="22" fillId="7" borderId="19" xfId="3" applyFont="1" applyFill="1" applyBorder="1" applyAlignment="1">
      <alignment horizontal="left" vertical="center" wrapText="1"/>
    </xf>
    <xf numFmtId="0" fontId="22" fillId="7" borderId="42" xfId="3" applyFont="1" applyFill="1" applyBorder="1" applyAlignment="1">
      <alignment horizontal="left" vertical="center" wrapText="1"/>
    </xf>
    <xf numFmtId="0" fontId="22" fillId="4" borderId="59" xfId="3" applyFont="1" applyFill="1" applyBorder="1" applyAlignment="1">
      <alignment horizontal="center" vertical="center" wrapText="1"/>
    </xf>
    <xf numFmtId="0" fontId="22" fillId="4" borderId="69" xfId="3" applyFont="1" applyFill="1" applyBorder="1" applyAlignment="1">
      <alignment horizontal="center" vertical="center" wrapText="1"/>
    </xf>
    <xf numFmtId="0" fontId="22" fillId="4" borderId="70" xfId="3" applyFont="1" applyFill="1" applyBorder="1" applyAlignment="1">
      <alignment horizontal="center" vertical="center" wrapText="1"/>
    </xf>
    <xf numFmtId="0" fontId="24" fillId="6" borderId="33" xfId="5" applyFont="1" applyFill="1" applyBorder="1" applyAlignment="1">
      <alignment horizontal="center" vertical="center" wrapText="1"/>
    </xf>
    <xf numFmtId="0" fontId="24" fillId="6" borderId="36" xfId="5" applyFont="1" applyFill="1" applyBorder="1" applyAlignment="1">
      <alignment horizontal="center" vertical="center" wrapText="1"/>
    </xf>
    <xf numFmtId="0" fontId="36" fillId="0" borderId="33" xfId="6" applyFont="1" applyBorder="1" applyAlignment="1">
      <alignment horizontal="center" vertical="center" wrapText="1"/>
    </xf>
    <xf numFmtId="4" fontId="24" fillId="6" borderId="33" xfId="5" applyNumberFormat="1" applyFont="1" applyFill="1" applyBorder="1" applyAlignment="1">
      <alignment horizontal="center" vertical="center" wrapText="1"/>
    </xf>
    <xf numFmtId="4" fontId="24" fillId="6" borderId="36" xfId="5" applyNumberFormat="1" applyFont="1" applyFill="1" applyBorder="1" applyAlignment="1">
      <alignment horizontal="center" vertical="center" wrapText="1"/>
    </xf>
    <xf numFmtId="0" fontId="24" fillId="5" borderId="3" xfId="5" applyFont="1" applyFill="1" applyBorder="1" applyAlignment="1">
      <alignment horizontal="right" vertical="center"/>
    </xf>
    <xf numFmtId="0" fontId="24" fillId="5" borderId="4" xfId="5" applyFont="1" applyFill="1" applyBorder="1" applyAlignment="1">
      <alignment horizontal="right" vertical="center"/>
    </xf>
    <xf numFmtId="0" fontId="24" fillId="5" borderId="55" xfId="5" applyFont="1" applyFill="1" applyBorder="1" applyAlignment="1">
      <alignment horizontal="right" vertical="center"/>
    </xf>
    <xf numFmtId="0" fontId="17" fillId="0" borderId="56" xfId="11" applyFont="1" applyBorder="1" applyAlignment="1">
      <alignment horizontal="left" vertical="center" wrapText="1"/>
    </xf>
    <xf numFmtId="0" fontId="17" fillId="0" borderId="57" xfId="11" applyFont="1" applyBorder="1" applyAlignment="1">
      <alignment horizontal="left" vertical="center" wrapText="1"/>
    </xf>
    <xf numFmtId="0" fontId="17" fillId="0" borderId="58" xfId="11" applyFont="1" applyBorder="1" applyAlignment="1">
      <alignment horizontal="left" vertical="center" wrapText="1"/>
    </xf>
    <xf numFmtId="0" fontId="22" fillId="4" borderId="39" xfId="4" applyFont="1" applyFill="1" applyBorder="1" applyAlignment="1">
      <alignment vertical="center" wrapText="1"/>
    </xf>
    <xf numFmtId="3" fontId="24" fillId="6" borderId="39" xfId="4" applyNumberFormat="1" applyFont="1" applyFill="1" applyBorder="1" applyAlignment="1">
      <alignment horizontal="center" vertical="center" wrapText="1"/>
    </xf>
    <xf numFmtId="0" fontId="24" fillId="0" borderId="72" xfId="11" applyFont="1" applyBorder="1" applyAlignment="1">
      <alignment horizontal="center"/>
    </xf>
    <xf numFmtId="3" fontId="24" fillId="6" borderId="39" xfId="4" applyNumberFormat="1" applyFont="1" applyFill="1" applyBorder="1" applyAlignment="1">
      <alignment horizontal="center" vertical="center"/>
    </xf>
    <xf numFmtId="0" fontId="24" fillId="6" borderId="39" xfId="4" applyFont="1" applyFill="1" applyBorder="1" applyAlignment="1">
      <alignment horizontal="center" vertical="center" wrapText="1"/>
    </xf>
    <xf numFmtId="0" fontId="24" fillId="6" borderId="39" xfId="4" applyFont="1" applyFill="1" applyBorder="1" applyAlignment="1">
      <alignment horizontal="center" vertical="center"/>
    </xf>
    <xf numFmtId="0" fontId="21" fillId="4" borderId="39" xfId="0" applyFont="1" applyFill="1" applyBorder="1" applyAlignment="1">
      <alignment vertical="center" wrapText="1"/>
    </xf>
    <xf numFmtId="0" fontId="22" fillId="4" borderId="39" xfId="0" applyFont="1" applyFill="1" applyBorder="1" applyAlignment="1">
      <alignment vertical="center" wrapText="1"/>
    </xf>
    <xf numFmtId="49" fontId="49" fillId="12" borderId="0" xfId="0" applyNumberFormat="1" applyFont="1" applyFill="1" applyAlignment="1">
      <alignment horizontal="center"/>
    </xf>
    <xf numFmtId="0" fontId="49" fillId="12" borderId="0" xfId="0" applyFont="1" applyFill="1" applyAlignment="1">
      <alignment horizontal="center"/>
    </xf>
    <xf numFmtId="4" fontId="3" fillId="0" borderId="1" xfId="0" applyNumberFormat="1" applyFont="1" applyBorder="1" applyAlignment="1">
      <alignment horizontal="center" vertical="center"/>
    </xf>
    <xf numFmtId="49" fontId="5" fillId="0" borderId="3" xfId="0" applyNumberFormat="1"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0" fillId="0" borderId="21" xfId="0" applyFont="1" applyBorder="1" applyAlignment="1">
      <alignment vertical="center"/>
    </xf>
    <xf numFmtId="0" fontId="21" fillId="8" borderId="3" xfId="5" applyFont="1" applyFill="1" applyBorder="1" applyAlignment="1">
      <alignment horizontal="right" vertical="center"/>
    </xf>
    <xf numFmtId="0" fontId="21" fillId="8" borderId="4" xfId="5" applyFont="1" applyFill="1" applyBorder="1" applyAlignment="1">
      <alignment horizontal="right" vertical="center"/>
    </xf>
    <xf numFmtId="0" fontId="21" fillId="8" borderId="55" xfId="5" applyFont="1" applyFill="1" applyBorder="1" applyAlignment="1">
      <alignment horizontal="right" vertical="center"/>
    </xf>
    <xf numFmtId="0" fontId="22" fillId="0" borderId="56" xfId="11" applyFont="1" applyBorder="1" applyAlignment="1">
      <alignment horizontal="left" vertical="center" wrapText="1"/>
    </xf>
    <xf numFmtId="0" fontId="22" fillId="0" borderId="57" xfId="11" applyFont="1" applyBorder="1" applyAlignment="1">
      <alignment horizontal="left" vertical="center" wrapText="1"/>
    </xf>
    <xf numFmtId="0" fontId="22" fillId="0" borderId="58" xfId="11" applyFont="1" applyBorder="1" applyAlignment="1">
      <alignment horizontal="left" vertical="center" wrapText="1"/>
    </xf>
    <xf numFmtId="0" fontId="22" fillId="0" borderId="57" xfId="18" applyFont="1" applyBorder="1" applyAlignment="1">
      <alignment horizontal="center" vertical="center"/>
    </xf>
    <xf numFmtId="0" fontId="22" fillId="0" borderId="76" xfId="18" applyFont="1" applyBorder="1" applyAlignment="1">
      <alignment horizontal="center" vertical="center"/>
    </xf>
    <xf numFmtId="0" fontId="22" fillId="6" borderId="82" xfId="4" applyFont="1" applyFill="1" applyBorder="1" applyAlignment="1">
      <alignment horizontal="center" vertical="center" wrapText="1"/>
    </xf>
    <xf numFmtId="0" fontId="22" fillId="6" borderId="83" xfId="4" applyFont="1" applyFill="1" applyBorder="1" applyAlignment="1">
      <alignment horizontal="center" vertical="center" wrapText="1"/>
    </xf>
    <xf numFmtId="0" fontId="22" fillId="4" borderId="41" xfId="4" applyFont="1" applyFill="1" applyBorder="1" applyAlignment="1">
      <alignment vertical="center" wrapText="1"/>
    </xf>
    <xf numFmtId="0" fontId="22" fillId="4" borderId="19" xfId="4" applyFont="1" applyFill="1" applyBorder="1" applyAlignment="1">
      <alignment vertical="center" wrapText="1"/>
    </xf>
    <xf numFmtId="3" fontId="21" fillId="4" borderId="19" xfId="4" applyNumberFormat="1" applyFont="1" applyFill="1" applyBorder="1" applyAlignment="1">
      <alignment horizontal="center" vertical="center"/>
    </xf>
    <xf numFmtId="0" fontId="21" fillId="4" borderId="19" xfId="4" applyFont="1" applyFill="1" applyBorder="1" applyAlignment="1">
      <alignment horizontal="center" vertical="center" wrapText="1"/>
    </xf>
    <xf numFmtId="0" fontId="21" fillId="4" borderId="19" xfId="4" applyFont="1" applyFill="1" applyBorder="1" applyAlignment="1">
      <alignment horizontal="center" vertical="center"/>
    </xf>
    <xf numFmtId="3" fontId="21" fillId="4" borderId="19" xfId="4" applyNumberFormat="1" applyFont="1" applyFill="1" applyBorder="1" applyAlignment="1">
      <alignment horizontal="center" vertical="center" wrapText="1"/>
    </xf>
    <xf numFmtId="3" fontId="21" fillId="4" borderId="68" xfId="4" applyNumberFormat="1" applyFont="1" applyFill="1" applyBorder="1" applyAlignment="1">
      <alignment horizontal="center" vertical="center" wrapText="1"/>
    </xf>
    <xf numFmtId="0" fontId="21" fillId="6" borderId="32" xfId="5" applyFont="1" applyFill="1" applyBorder="1" applyAlignment="1">
      <alignment horizontal="center" vertical="center" wrapText="1"/>
    </xf>
    <xf numFmtId="0" fontId="21" fillId="6" borderId="35" xfId="5" applyFont="1" applyFill="1" applyBorder="1" applyAlignment="1">
      <alignment horizontal="center" vertical="center" wrapText="1"/>
    </xf>
    <xf numFmtId="0" fontId="21" fillId="6" borderId="33" xfId="5" applyFont="1" applyFill="1" applyBorder="1" applyAlignment="1">
      <alignment horizontal="center" vertical="center" wrapText="1"/>
    </xf>
    <xf numFmtId="0" fontId="21" fillId="6" borderId="36" xfId="5" applyFont="1" applyFill="1" applyBorder="1" applyAlignment="1">
      <alignment horizontal="center" vertical="center" wrapText="1"/>
    </xf>
    <xf numFmtId="4" fontId="21" fillId="6" borderId="33" xfId="5" applyNumberFormat="1" applyFont="1" applyFill="1" applyBorder="1" applyAlignment="1">
      <alignment horizontal="center" vertical="center" wrapText="1"/>
    </xf>
    <xf numFmtId="4" fontId="21" fillId="6" borderId="36" xfId="5" applyNumberFormat="1" applyFont="1" applyFill="1" applyBorder="1" applyAlignment="1">
      <alignment horizontal="center" vertical="center" wrapText="1"/>
    </xf>
    <xf numFmtId="0" fontId="21" fillId="8" borderId="44" xfId="5" applyFont="1" applyFill="1" applyBorder="1" applyAlignment="1">
      <alignment horizontal="left" vertical="center"/>
    </xf>
    <xf numFmtId="0" fontId="21" fillId="8" borderId="45" xfId="5" applyFont="1" applyFill="1" applyBorder="1" applyAlignment="1">
      <alignment horizontal="left" vertical="center"/>
    </xf>
    <xf numFmtId="4" fontId="21" fillId="6" borderId="34" xfId="5" applyNumberFormat="1" applyFont="1" applyFill="1" applyBorder="1" applyAlignment="1">
      <alignment horizontal="center" vertical="center" wrapText="1"/>
    </xf>
    <xf numFmtId="4" fontId="21" fillId="6" borderId="37" xfId="5" applyNumberFormat="1" applyFont="1" applyFill="1" applyBorder="1" applyAlignment="1">
      <alignment horizontal="center" vertical="center" wrapText="1"/>
    </xf>
    <xf numFmtId="0" fontId="21" fillId="0" borderId="33" xfId="6" applyFont="1" applyBorder="1" applyAlignment="1">
      <alignment horizontal="center" vertical="center" wrapText="1"/>
    </xf>
    <xf numFmtId="0" fontId="34" fillId="0" borderId="65" xfId="3" applyFont="1" applyBorder="1" applyAlignment="1">
      <alignment horizontal="center" wrapText="1"/>
    </xf>
    <xf numFmtId="0" fontId="21" fillId="0" borderId="0" xfId="4" applyFont="1" applyAlignment="1">
      <alignment horizontal="center" vertical="center"/>
    </xf>
    <xf numFmtId="0" fontId="22" fillId="7" borderId="32" xfId="3" applyFont="1" applyFill="1" applyBorder="1" applyAlignment="1">
      <alignment horizontal="left" wrapText="1"/>
    </xf>
    <xf numFmtId="0" fontId="22" fillId="7" borderId="33" xfId="3" applyFont="1" applyFill="1" applyBorder="1" applyAlignment="1">
      <alignment horizontal="left" wrapText="1"/>
    </xf>
    <xf numFmtId="0" fontId="22" fillId="7" borderId="34" xfId="3" applyFont="1" applyFill="1" applyBorder="1" applyAlignment="1">
      <alignment horizontal="left" wrapText="1"/>
    </xf>
    <xf numFmtId="0" fontId="22" fillId="7" borderId="35" xfId="3" applyFont="1" applyFill="1" applyBorder="1" applyAlignment="1">
      <alignment horizontal="left" wrapText="1"/>
    </xf>
    <xf numFmtId="0" fontId="22" fillId="7" borderId="36" xfId="3" applyFont="1" applyFill="1" applyBorder="1" applyAlignment="1">
      <alignment horizontal="left" wrapText="1"/>
    </xf>
    <xf numFmtId="0" fontId="22" fillId="7" borderId="37" xfId="3" applyFont="1" applyFill="1" applyBorder="1" applyAlignment="1">
      <alignment horizontal="left" wrapText="1"/>
    </xf>
    <xf numFmtId="0" fontId="22" fillId="4" borderId="71" xfId="3" applyFont="1" applyFill="1" applyBorder="1" applyAlignment="1">
      <alignment horizontal="center" wrapText="1"/>
    </xf>
    <xf numFmtId="0" fontId="22" fillId="4" borderId="72" xfId="3" applyFont="1" applyFill="1" applyBorder="1" applyAlignment="1">
      <alignment horizontal="center" wrapText="1"/>
    </xf>
    <xf numFmtId="0" fontId="22" fillId="4" borderId="73" xfId="3" applyFont="1" applyFill="1" applyBorder="1" applyAlignment="1">
      <alignment horizontal="center" wrapText="1"/>
    </xf>
    <xf numFmtId="0" fontId="21" fillId="0" borderId="81" xfId="0" applyFont="1" applyBorder="1" applyAlignment="1">
      <alignment wrapText="1"/>
    </xf>
    <xf numFmtId="0" fontId="21" fillId="0" borderId="0" xfId="0" applyFont="1" applyAlignment="1">
      <alignment wrapText="1"/>
    </xf>
    <xf numFmtId="0" fontId="21" fillId="0" borderId="95" xfId="0" applyFont="1" applyBorder="1" applyAlignment="1">
      <alignment wrapText="1"/>
    </xf>
    <xf numFmtId="0" fontId="22" fillId="0" borderId="0" xfId="0" applyFont="1" applyAlignment="1">
      <alignment horizontal="right"/>
    </xf>
    <xf numFmtId="0" fontId="22" fillId="0" borderId="95" xfId="0" applyFont="1" applyBorder="1" applyAlignment="1">
      <alignment horizontal="right"/>
    </xf>
    <xf numFmtId="0" fontId="22" fillId="0" borderId="44" xfId="0" applyFont="1" applyBorder="1" applyAlignment="1">
      <alignment horizontal="right"/>
    </xf>
    <xf numFmtId="0" fontId="22" fillId="0" borderId="45" xfId="0" applyFont="1" applyBorder="1" applyAlignment="1">
      <alignment horizontal="right"/>
    </xf>
    <xf numFmtId="0" fontId="22" fillId="0" borderId="43" xfId="0" applyFont="1" applyBorder="1" applyAlignment="1">
      <alignment horizontal="left"/>
    </xf>
    <xf numFmtId="0" fontId="22" fillId="0" borderId="44" xfId="0" applyFont="1" applyBorder="1" applyAlignment="1">
      <alignment horizontal="left"/>
    </xf>
    <xf numFmtId="43" fontId="22" fillId="0" borderId="100" xfId="2" applyNumberFormat="1" applyFont="1" applyBorder="1" applyAlignment="1">
      <alignment horizontal="center"/>
    </xf>
    <xf numFmtId="43" fontId="22" fillId="0" borderId="75" xfId="2" applyNumberFormat="1" applyFont="1" applyBorder="1" applyAlignment="1">
      <alignment horizontal="center"/>
    </xf>
    <xf numFmtId="43" fontId="22" fillId="0" borderId="101" xfId="2" applyNumberFormat="1" applyFont="1" applyBorder="1" applyAlignment="1">
      <alignment horizontal="center"/>
    </xf>
    <xf numFmtId="43" fontId="22" fillId="0" borderId="50" xfId="2" applyNumberFormat="1" applyFont="1" applyBorder="1" applyAlignment="1">
      <alignment horizontal="center"/>
    </xf>
    <xf numFmtId="0" fontId="21" fillId="0" borderId="3" xfId="0" applyFont="1" applyBorder="1" applyAlignment="1">
      <alignment horizontal="right"/>
    </xf>
    <xf numFmtId="0" fontId="21" fillId="0" borderId="4" xfId="0" applyFont="1" applyBorder="1" applyAlignment="1">
      <alignment horizontal="right"/>
    </xf>
    <xf numFmtId="0" fontId="21" fillId="0" borderId="5" xfId="0" applyFont="1" applyBorder="1" applyAlignment="1">
      <alignment horizontal="right"/>
    </xf>
    <xf numFmtId="0" fontId="21" fillId="8" borderId="3" xfId="0" applyFont="1" applyFill="1" applyBorder="1" applyAlignment="1">
      <alignment horizontal="right"/>
    </xf>
    <xf numFmtId="0" fontId="21" fillId="8" borderId="4" xfId="0" applyFont="1" applyFill="1" applyBorder="1" applyAlignment="1">
      <alignment horizontal="right"/>
    </xf>
    <xf numFmtId="0" fontId="21" fillId="8" borderId="5" xfId="0" applyFont="1" applyFill="1" applyBorder="1" applyAlignment="1">
      <alignment horizontal="right"/>
    </xf>
    <xf numFmtId="0" fontId="22" fillId="0" borderId="59" xfId="0" applyFont="1" applyBorder="1" applyAlignment="1">
      <alignment horizontal="center"/>
    </xf>
    <xf numFmtId="0" fontId="22" fillId="0" borderId="69" xfId="0" applyFont="1" applyBorder="1" applyAlignment="1">
      <alignment horizontal="center"/>
    </xf>
    <xf numFmtId="0" fontId="22" fillId="0" borderId="70" xfId="0" applyFont="1" applyBorder="1" applyAlignment="1">
      <alignment horizontal="center"/>
    </xf>
    <xf numFmtId="0" fontId="21" fillId="0" borderId="94" xfId="0" applyFont="1" applyBorder="1" applyAlignment="1">
      <alignment horizontal="left" vertical="center"/>
    </xf>
    <xf numFmtId="0" fontId="21" fillId="0" borderId="84" xfId="0" applyFont="1" applyBorder="1" applyAlignment="1">
      <alignment horizontal="left" vertical="center"/>
    </xf>
    <xf numFmtId="0" fontId="21" fillId="0" borderId="88" xfId="0" applyFont="1" applyBorder="1" applyAlignment="1">
      <alignment horizontal="left" vertical="center"/>
    </xf>
    <xf numFmtId="0" fontId="21" fillId="0" borderId="81" xfId="0" applyFont="1" applyBorder="1" applyAlignment="1">
      <alignment horizontal="left" vertical="center"/>
    </xf>
    <xf numFmtId="0" fontId="21" fillId="0" borderId="0" xfId="0" applyFont="1" applyAlignment="1">
      <alignment horizontal="left" vertical="center"/>
    </xf>
    <xf numFmtId="0" fontId="21" fillId="0" borderId="95" xfId="0" applyFont="1" applyBorder="1" applyAlignment="1">
      <alignment horizontal="left" vertical="center"/>
    </xf>
    <xf numFmtId="0" fontId="21" fillId="0" borderId="43" xfId="0" applyFont="1" applyBorder="1" applyAlignment="1">
      <alignment horizontal="left" vertical="center"/>
    </xf>
    <xf numFmtId="0" fontId="21" fillId="0" borderId="44" xfId="0" applyFont="1" applyBorder="1" applyAlignment="1">
      <alignment horizontal="left" vertical="center"/>
    </xf>
    <xf numFmtId="0" fontId="21" fillId="0" borderId="45" xfId="0" applyFont="1" applyBorder="1" applyAlignment="1">
      <alignment horizontal="left" vertical="center"/>
    </xf>
    <xf numFmtId="0" fontId="21" fillId="8" borderId="56" xfId="0" applyFont="1" applyFill="1" applyBorder="1" applyAlignment="1">
      <alignment horizontal="center"/>
    </xf>
    <xf numFmtId="0" fontId="21" fillId="8" borderId="57" xfId="0" applyFont="1" applyFill="1" applyBorder="1" applyAlignment="1">
      <alignment horizontal="center"/>
    </xf>
    <xf numFmtId="0" fontId="21" fillId="8" borderId="64" xfId="0" applyFont="1" applyFill="1" applyBorder="1" applyAlignment="1">
      <alignment horizontal="center" wrapText="1"/>
    </xf>
    <xf numFmtId="0" fontId="21" fillId="8" borderId="58" xfId="0" applyFont="1" applyFill="1" applyBorder="1" applyAlignment="1">
      <alignment horizontal="center" wrapText="1"/>
    </xf>
    <xf numFmtId="0" fontId="22" fillId="0" borderId="59" xfId="0" applyFont="1" applyBorder="1"/>
    <xf numFmtId="0" fontId="22" fillId="0" borderId="69" xfId="0" applyFont="1" applyBorder="1"/>
    <xf numFmtId="0" fontId="22" fillId="0" borderId="60" xfId="0" applyFont="1" applyBorder="1"/>
    <xf numFmtId="0" fontId="22" fillId="0" borderId="49" xfId="0" applyFont="1" applyBorder="1"/>
    <xf numFmtId="0" fontId="22" fillId="0" borderId="101" xfId="0" applyFont="1" applyBorder="1" applyAlignment="1">
      <alignment horizontal="center"/>
    </xf>
    <xf numFmtId="0" fontId="22" fillId="0" borderId="50" xfId="0" applyFont="1" applyBorder="1" applyAlignment="1">
      <alignment horizontal="center"/>
    </xf>
    <xf numFmtId="2" fontId="22" fillId="0" borderId="100" xfId="0" applyNumberFormat="1" applyFont="1" applyBorder="1" applyAlignment="1">
      <alignment horizontal="center" wrapText="1"/>
    </xf>
    <xf numFmtId="2" fontId="22" fillId="0" borderId="75" xfId="0" applyNumberFormat="1" applyFont="1" applyBorder="1" applyAlignment="1">
      <alignment horizontal="center" wrapText="1"/>
    </xf>
    <xf numFmtId="2" fontId="22" fillId="0" borderId="100" xfId="0" applyNumberFormat="1" applyFont="1" applyBorder="1" applyAlignment="1">
      <alignment horizontal="center"/>
    </xf>
    <xf numFmtId="2" fontId="22" fillId="0" borderId="75" xfId="0" applyNumberFormat="1" applyFont="1" applyBorder="1" applyAlignment="1">
      <alignment horizontal="center"/>
    </xf>
    <xf numFmtId="0" fontId="21" fillId="8" borderId="64" xfId="0" applyFont="1" applyFill="1" applyBorder="1" applyAlignment="1">
      <alignment horizontal="center"/>
    </xf>
    <xf numFmtId="0" fontId="21" fillId="8" borderId="58" xfId="0" applyFont="1" applyFill="1" applyBorder="1" applyAlignment="1">
      <alignment horizontal="center"/>
    </xf>
    <xf numFmtId="0" fontId="22" fillId="0" borderId="50" xfId="0" applyFont="1" applyBorder="1"/>
    <xf numFmtId="0" fontId="22" fillId="0" borderId="100" xfId="0" applyFont="1" applyBorder="1" applyAlignment="1">
      <alignment horizontal="center"/>
    </xf>
    <xf numFmtId="0" fontId="22" fillId="0" borderId="75" xfId="0" applyFont="1" applyBorder="1" applyAlignment="1">
      <alignment horizontal="center"/>
    </xf>
    <xf numFmtId="0" fontId="22" fillId="0" borderId="101" xfId="0" applyFont="1" applyBorder="1"/>
    <xf numFmtId="2" fontId="22" fillId="0" borderId="101" xfId="0" applyNumberFormat="1" applyFont="1" applyBorder="1" applyAlignment="1">
      <alignment horizontal="center"/>
    </xf>
    <xf numFmtId="2" fontId="22" fillId="0" borderId="50" xfId="0" applyNumberFormat="1" applyFont="1" applyBorder="1" applyAlignment="1">
      <alignment horizontal="center"/>
    </xf>
    <xf numFmtId="0" fontId="22" fillId="0" borderId="75" xfId="0" applyFont="1" applyBorder="1"/>
    <xf numFmtId="164" fontId="22" fillId="0" borderId="100" xfId="2" applyFont="1" applyBorder="1" applyAlignment="1">
      <alignment horizontal="center"/>
    </xf>
    <xf numFmtId="164" fontId="22" fillId="0" borderId="75" xfId="2" applyFont="1" applyBorder="1" applyAlignment="1">
      <alignment horizontal="center"/>
    </xf>
    <xf numFmtId="0" fontId="22" fillId="0" borderId="100" xfId="0" applyFont="1" applyBorder="1"/>
    <xf numFmtId="0" fontId="21" fillId="0" borderId="81" xfId="0" applyFont="1" applyBorder="1" applyAlignment="1">
      <alignment horizontal="right" vertical="center"/>
    </xf>
    <xf numFmtId="0" fontId="21" fillId="0" borderId="0" xfId="0" applyFont="1" applyAlignment="1">
      <alignment horizontal="right" vertical="center"/>
    </xf>
    <xf numFmtId="0" fontId="21" fillId="0" borderId="94" xfId="0" applyFont="1" applyBorder="1" applyAlignment="1" applyProtection="1">
      <alignment horizontal="center"/>
      <protection locked="0"/>
    </xf>
    <xf numFmtId="0" fontId="21" fillId="0" borderId="84" xfId="0" applyFont="1" applyBorder="1" applyAlignment="1" applyProtection="1">
      <alignment horizontal="center"/>
      <protection locked="0"/>
    </xf>
    <xf numFmtId="0" fontId="21" fillId="0" borderId="88" xfId="0" applyFont="1" applyBorder="1" applyAlignment="1" applyProtection="1">
      <alignment horizontal="center"/>
      <protection locked="0"/>
    </xf>
    <xf numFmtId="0" fontId="21" fillId="8" borderId="56" xfId="0" applyFont="1" applyFill="1" applyBorder="1" applyAlignment="1">
      <alignment horizontal="center" vertical="center" wrapText="1"/>
    </xf>
    <xf numFmtId="0" fontId="21" fillId="8" borderId="57" xfId="0" applyFont="1" applyFill="1" applyBorder="1" applyAlignment="1">
      <alignment horizontal="center" vertical="center" wrapText="1"/>
    </xf>
    <xf numFmtId="0" fontId="21" fillId="8" borderId="76" xfId="0" applyFont="1" applyFill="1" applyBorder="1" applyAlignment="1">
      <alignment horizontal="center" vertical="center" wrapText="1"/>
    </xf>
    <xf numFmtId="0" fontId="21" fillId="8" borderId="56" xfId="0" applyFont="1" applyFill="1" applyBorder="1" applyAlignment="1">
      <alignment horizontal="center" vertical="center"/>
    </xf>
    <xf numFmtId="0" fontId="21" fillId="8" borderId="76" xfId="0" applyFont="1" applyFill="1" applyBorder="1" applyAlignment="1">
      <alignment horizontal="center" vertical="center"/>
    </xf>
    <xf numFmtId="0" fontId="22" fillId="8" borderId="60" xfId="0" applyFont="1" applyFill="1" applyBorder="1" applyAlignment="1">
      <alignment horizontal="center" vertical="center"/>
    </xf>
    <xf numFmtId="0" fontId="22" fillId="8" borderId="49" xfId="0" applyFont="1" applyFill="1" applyBorder="1" applyAlignment="1">
      <alignment horizontal="center" vertical="center"/>
    </xf>
    <xf numFmtId="0" fontId="22" fillId="8" borderId="96" xfId="0" applyFont="1" applyFill="1" applyBorder="1" applyAlignment="1">
      <alignment horizontal="center" vertical="center"/>
    </xf>
    <xf numFmtId="0" fontId="22" fillId="8" borderId="57" xfId="0" applyFont="1" applyFill="1" applyBorder="1" applyAlignment="1">
      <alignment horizontal="center"/>
    </xf>
    <xf numFmtId="0" fontId="22" fillId="8" borderId="58" xfId="0" applyFont="1" applyFill="1" applyBorder="1" applyAlignment="1">
      <alignment horizontal="center"/>
    </xf>
    <xf numFmtId="0" fontId="21" fillId="8" borderId="90" xfId="0" applyFont="1" applyFill="1" applyBorder="1" applyAlignment="1">
      <alignment horizontal="center"/>
    </xf>
    <xf numFmtId="0" fontId="21" fillId="8" borderId="99" xfId="0" applyFont="1" applyFill="1" applyBorder="1" applyAlignment="1">
      <alignment horizontal="center"/>
    </xf>
    <xf numFmtId="0" fontId="30" fillId="0" borderId="65" xfId="0" applyFont="1" applyBorder="1" applyAlignment="1">
      <alignment horizontal="center" wrapText="1"/>
    </xf>
    <xf numFmtId="0" fontId="22" fillId="7" borderId="19" xfId="0" applyFont="1" applyFill="1" applyBorder="1" applyAlignment="1">
      <alignment horizontal="center" vertical="center" wrapText="1"/>
    </xf>
    <xf numFmtId="0" fontId="38" fillId="0" borderId="85" xfId="19" applyFont="1" applyBorder="1" applyAlignment="1" applyProtection="1">
      <alignment horizontal="center"/>
    </xf>
    <xf numFmtId="0" fontId="38" fillId="0" borderId="74" xfId="19" applyFont="1" applyBorder="1" applyAlignment="1" applyProtection="1">
      <alignment horizontal="center"/>
    </xf>
    <xf numFmtId="0" fontId="21" fillId="0" borderId="86" xfId="0" applyFont="1" applyBorder="1" applyAlignment="1">
      <alignment horizontal="center"/>
    </xf>
    <xf numFmtId="0" fontId="21" fillId="0" borderId="84" xfId="0" applyFont="1" applyBorder="1" applyAlignment="1">
      <alignment horizontal="center"/>
    </xf>
    <xf numFmtId="0" fontId="21" fillId="0" borderId="87" xfId="0" applyFont="1" applyBorder="1" applyAlignment="1">
      <alignment horizontal="center"/>
    </xf>
    <xf numFmtId="0" fontId="22" fillId="0" borderId="86" xfId="20" applyFont="1" applyBorder="1" applyAlignment="1">
      <alignment horizontal="center" vertical="center"/>
    </xf>
    <xf numFmtId="0" fontId="22" fillId="0" borderId="84" xfId="20" applyFont="1" applyBorder="1" applyAlignment="1">
      <alignment horizontal="center" vertical="center"/>
    </xf>
    <xf numFmtId="0" fontId="22" fillId="0" borderId="88" xfId="20" applyFont="1" applyBorder="1" applyAlignment="1">
      <alignment horizontal="center" vertical="center"/>
    </xf>
    <xf numFmtId="0" fontId="22" fillId="0" borderId="90" xfId="20" applyFont="1" applyBorder="1" applyAlignment="1">
      <alignment horizontal="center" vertical="center"/>
    </xf>
    <xf numFmtId="0" fontId="22" fillId="0" borderId="72" xfId="20" applyFont="1" applyBorder="1" applyAlignment="1">
      <alignment horizontal="center" vertical="center"/>
    </xf>
    <xf numFmtId="0" fontId="22" fillId="0" borderId="73" xfId="20" applyFont="1" applyBorder="1" applyAlignment="1">
      <alignment horizontal="center" vertical="center"/>
    </xf>
    <xf numFmtId="0" fontId="21" fillId="0" borderId="89" xfId="0" applyFont="1" applyBorder="1" applyAlignment="1">
      <alignment horizontal="center"/>
    </xf>
    <xf numFmtId="0" fontId="21" fillId="0" borderId="0" xfId="0" applyFont="1" applyAlignment="1">
      <alignment horizontal="center"/>
    </xf>
    <xf numFmtId="0" fontId="21" fillId="0" borderId="51" xfId="0" applyFont="1" applyBorder="1" applyAlignment="1">
      <alignment horizontal="center"/>
    </xf>
    <xf numFmtId="0" fontId="22" fillId="0" borderId="82" xfId="20" applyFont="1" applyBorder="1" applyAlignment="1">
      <alignment horizontal="center" vertical="center"/>
    </xf>
    <xf numFmtId="0" fontId="22" fillId="0" borderId="68" xfId="0" applyFont="1" applyBorder="1" applyAlignment="1">
      <alignment horizontal="center" vertical="center"/>
    </xf>
    <xf numFmtId="0" fontId="22" fillId="0" borderId="91" xfId="20" applyFont="1" applyBorder="1" applyAlignment="1">
      <alignment horizontal="center" vertical="center"/>
    </xf>
    <xf numFmtId="0" fontId="22" fillId="0" borderId="79" xfId="20" applyFont="1" applyBorder="1" applyAlignment="1">
      <alignment horizontal="center" vertical="center"/>
    </xf>
    <xf numFmtId="0" fontId="22" fillId="0" borderId="92" xfId="20" applyFont="1" applyBorder="1" applyAlignment="1">
      <alignment horizontal="center" vertical="center"/>
    </xf>
    <xf numFmtId="0" fontId="22" fillId="0" borderId="90" xfId="0" applyFont="1" applyBorder="1" applyAlignment="1">
      <alignment horizontal="center" vertical="center"/>
    </xf>
    <xf numFmtId="0" fontId="22" fillId="0" borderId="72" xfId="0" applyFont="1" applyBorder="1" applyAlignment="1">
      <alignment horizontal="center" vertical="center"/>
    </xf>
    <xf numFmtId="0" fontId="22" fillId="0" borderId="73" xfId="0" applyFont="1" applyBorder="1" applyAlignment="1">
      <alignment horizontal="center" vertical="center"/>
    </xf>
    <xf numFmtId="0" fontId="21" fillId="0" borderId="89" xfId="0" applyFont="1" applyBorder="1" applyAlignment="1">
      <alignment horizontal="center" vertical="center" wrapText="1"/>
    </xf>
    <xf numFmtId="0" fontId="21" fillId="0" borderId="0" xfId="0" applyFont="1" applyAlignment="1">
      <alignment horizontal="center" vertical="center" wrapText="1"/>
    </xf>
    <xf numFmtId="0" fontId="21" fillId="0" borderId="51" xfId="0" applyFont="1" applyBorder="1" applyAlignment="1">
      <alignment horizontal="center" vertical="center" wrapText="1"/>
    </xf>
    <xf numFmtId="0" fontId="22" fillId="0" borderId="93" xfId="20" applyFont="1" applyBorder="1" applyAlignment="1">
      <alignment horizontal="center" vertical="center"/>
    </xf>
    <xf numFmtId="0" fontId="22" fillId="0" borderId="83" xfId="20" applyFont="1" applyBorder="1" applyAlignment="1">
      <alignment horizontal="center" vertical="center"/>
    </xf>
    <xf numFmtId="0" fontId="22" fillId="0" borderId="52" xfId="20" applyFont="1" applyBorder="1" applyAlignment="1">
      <alignment horizontal="center" vertical="center"/>
    </xf>
  </cellXfs>
  <cellStyles count="23">
    <cellStyle name="Hipervínculo" xfId="19" builtinId="8"/>
    <cellStyle name="Millares" xfId="2" builtinId="3"/>
    <cellStyle name="Millares [0] 3" xfId="15" xr:uid="{00000000-0005-0000-0000-000003000000}"/>
    <cellStyle name="Millares 2" xfId="8" xr:uid="{00000000-0005-0000-0000-000004000000}"/>
    <cellStyle name="Millares_FORMULARIO 4 - M-OFERENTE PPTA ECONOMICA" xfId="13" xr:uid="{00000000-0005-0000-0000-000005000000}"/>
    <cellStyle name="Moneda" xfId="21" builtinId="4"/>
    <cellStyle name="Moneda 2" xfId="7" xr:uid="{00000000-0005-0000-0000-000007000000}"/>
    <cellStyle name="Moneda 2 2 2 2 2" xfId="12" xr:uid="{00000000-0005-0000-0000-000008000000}"/>
    <cellStyle name="Moneda 5" xfId="16" xr:uid="{00000000-0005-0000-0000-000009000000}"/>
    <cellStyle name="Normal" xfId="0" builtinId="0"/>
    <cellStyle name="Normal 13" xfId="14" xr:uid="{00000000-0005-0000-0000-00000B000000}"/>
    <cellStyle name="Normal 2" xfId="5" xr:uid="{00000000-0005-0000-0000-00000C000000}"/>
    <cellStyle name="Normal 2 10 2 2" xfId="17" xr:uid="{00000000-0005-0000-0000-00000D000000}"/>
    <cellStyle name="Normal 2 10 3" xfId="6" xr:uid="{00000000-0005-0000-0000-00000E000000}"/>
    <cellStyle name="Normal 2 2" xfId="18" xr:uid="{00000000-0005-0000-0000-00000F000000}"/>
    <cellStyle name="Normal 23" xfId="22" xr:uid="{7672F8D8-061B-4C5B-A80D-6A88920D3F1E}"/>
    <cellStyle name="Normal 3" xfId="3" xr:uid="{00000000-0005-0000-0000-000010000000}"/>
    <cellStyle name="Normal 3 11" xfId="4" xr:uid="{00000000-0005-0000-0000-000011000000}"/>
    <cellStyle name="Normal 3 2" xfId="9" xr:uid="{00000000-0005-0000-0000-000012000000}"/>
    <cellStyle name="Normal 3 2 2" xfId="11" xr:uid="{00000000-0005-0000-0000-000013000000}"/>
    <cellStyle name="Normal_modelo ACTA OBRA y MODIFICACION" xfId="20" xr:uid="{00000000-0005-0000-0000-000014000000}"/>
    <cellStyle name="Normal_PTO OFICIAL PREPLIEGO (CORREGIDO) 2" xfId="10" xr:uid="{00000000-0005-0000-0000-00001500000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7219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38"/>
  <sheetViews>
    <sheetView tabSelected="1" zoomScale="70" zoomScaleNormal="70" workbookViewId="0">
      <pane ySplit="12" topLeftCell="A113" activePane="bottomLeft" state="frozen"/>
      <selection pane="bottomLeft" activeCell="S126" sqref="S126"/>
    </sheetView>
  </sheetViews>
  <sheetFormatPr baseColWidth="10" defaultColWidth="11.42578125" defaultRowHeight="16.5"/>
  <cols>
    <col min="1" max="2" width="3.42578125" style="99" customWidth="1"/>
    <col min="3" max="3" width="5.28515625" style="99" customWidth="1"/>
    <col min="4" max="4" width="15.28515625" style="99" bestFit="1" customWidth="1"/>
    <col min="5" max="5" width="12.7109375" style="168" customWidth="1"/>
    <col min="6" max="6" width="16.7109375" style="99" customWidth="1"/>
    <col min="7" max="7" width="86.85546875" style="99" customWidth="1"/>
    <col min="8" max="8" width="7.7109375" style="99" customWidth="1"/>
    <col min="9" max="9" width="16.7109375" style="99" customWidth="1"/>
    <col min="10" max="10" width="17.28515625" style="99" customWidth="1"/>
    <col min="11" max="11" width="29.28515625" style="99" customWidth="1"/>
    <col min="12" max="12" width="3.28515625" style="99" customWidth="1"/>
    <col min="13" max="13" width="2.7109375" style="99" customWidth="1"/>
    <col min="14" max="15" width="11.42578125" style="99"/>
    <col min="16" max="16" width="29.140625" style="99" customWidth="1"/>
    <col min="17" max="17" width="30.7109375" style="99" customWidth="1"/>
    <col min="18" max="18" width="11.42578125" style="99"/>
    <col min="19" max="19" width="23.28515625" style="99" customWidth="1"/>
    <col min="20" max="16384" width="11.42578125" style="99"/>
  </cols>
  <sheetData>
    <row r="1" spans="1:13" ht="17.25" thickBot="1">
      <c r="A1" s="97"/>
      <c r="B1" s="97"/>
      <c r="C1" s="97"/>
      <c r="D1" s="97"/>
      <c r="E1" s="98"/>
      <c r="F1" s="97"/>
      <c r="G1" s="97"/>
      <c r="H1" s="97"/>
      <c r="I1" s="97"/>
      <c r="J1" s="97"/>
      <c r="K1" s="97"/>
      <c r="L1" s="97"/>
      <c r="M1" s="97"/>
    </row>
    <row r="2" spans="1:13" ht="17.25" thickTop="1">
      <c r="A2" s="97"/>
      <c r="B2" s="100"/>
      <c r="C2" s="101"/>
      <c r="D2" s="101"/>
      <c r="E2" s="102"/>
      <c r="F2" s="101"/>
      <c r="G2" s="101"/>
      <c r="H2" s="101"/>
      <c r="I2" s="101"/>
      <c r="J2" s="101"/>
      <c r="K2" s="101"/>
      <c r="L2" s="103"/>
      <c r="M2" s="97"/>
    </row>
    <row r="3" spans="1:13" ht="27" customHeight="1">
      <c r="A3" s="97"/>
      <c r="B3" s="104"/>
      <c r="C3" s="467" t="s">
        <v>83</v>
      </c>
      <c r="D3" s="467"/>
      <c r="E3" s="467"/>
      <c r="F3" s="467"/>
      <c r="G3" s="97"/>
      <c r="H3" s="97"/>
      <c r="I3" s="97"/>
      <c r="J3" s="97"/>
      <c r="K3" s="97"/>
      <c r="L3" s="105"/>
      <c r="M3" s="97"/>
    </row>
    <row r="4" spans="1:13">
      <c r="A4" s="97"/>
      <c r="B4" s="104"/>
      <c r="C4" s="169" t="s">
        <v>54</v>
      </c>
      <c r="D4" s="170" t="s">
        <v>55</v>
      </c>
      <c r="E4" s="169" t="s">
        <v>56</v>
      </c>
      <c r="F4" s="170">
        <v>3</v>
      </c>
      <c r="G4" s="97"/>
      <c r="H4" s="97"/>
      <c r="I4" s="97"/>
      <c r="J4" s="97"/>
      <c r="K4" s="97"/>
      <c r="L4" s="105"/>
      <c r="M4" s="97"/>
    </row>
    <row r="5" spans="1:13">
      <c r="A5" s="97"/>
      <c r="B5" s="104"/>
      <c r="C5" s="468" t="s">
        <v>57</v>
      </c>
      <c r="D5" s="468"/>
      <c r="E5" s="468"/>
      <c r="F5" s="468"/>
      <c r="G5" s="468"/>
      <c r="H5" s="468"/>
      <c r="I5" s="468"/>
      <c r="J5" s="468"/>
      <c r="K5" s="468"/>
      <c r="L5" s="105"/>
      <c r="M5" s="97"/>
    </row>
    <row r="6" spans="1:13" ht="17.25" thickBot="1">
      <c r="A6" s="97"/>
      <c r="B6" s="104"/>
      <c r="C6" s="469" t="s">
        <v>58</v>
      </c>
      <c r="D6" s="469"/>
      <c r="E6" s="469"/>
      <c r="F6" s="469"/>
      <c r="G6" s="469"/>
      <c r="H6" s="469"/>
      <c r="I6" s="469"/>
      <c r="J6" s="469"/>
      <c r="K6" s="469"/>
      <c r="L6" s="105"/>
      <c r="M6" s="97"/>
    </row>
    <row r="7" spans="1:13" s="172" customFormat="1">
      <c r="A7" s="97"/>
      <c r="B7" s="171"/>
      <c r="C7" s="470" t="s">
        <v>84</v>
      </c>
      <c r="D7" s="471"/>
      <c r="E7" s="471"/>
      <c r="F7" s="471"/>
      <c r="G7" s="471"/>
      <c r="H7" s="471"/>
      <c r="I7" s="471"/>
      <c r="J7" s="471"/>
      <c r="K7" s="472"/>
      <c r="L7" s="107"/>
      <c r="M7" s="106"/>
    </row>
    <row r="8" spans="1:13" ht="43.5" customHeight="1">
      <c r="A8" s="97"/>
      <c r="B8" s="173"/>
      <c r="C8" s="473"/>
      <c r="D8" s="474"/>
      <c r="E8" s="474"/>
      <c r="F8" s="474"/>
      <c r="G8" s="474"/>
      <c r="H8" s="474"/>
      <c r="I8" s="474"/>
      <c r="J8" s="474"/>
      <c r="K8" s="475"/>
      <c r="L8" s="105"/>
      <c r="M8" s="97"/>
    </row>
    <row r="9" spans="1:13" ht="43.5" customHeight="1">
      <c r="A9" s="97"/>
      <c r="B9" s="173"/>
      <c r="C9" s="476" t="s">
        <v>59</v>
      </c>
      <c r="D9" s="477"/>
      <c r="E9" s="477"/>
      <c r="F9" s="477"/>
      <c r="G9" s="477"/>
      <c r="H9" s="477"/>
      <c r="I9" s="477"/>
      <c r="J9" s="477"/>
      <c r="K9" s="478"/>
      <c r="L9" s="105"/>
      <c r="M9" s="97"/>
    </row>
    <row r="10" spans="1:13" ht="30" customHeight="1" thickBot="1">
      <c r="A10" s="97"/>
      <c r="B10" s="104"/>
      <c r="C10" s="460" t="s">
        <v>444</v>
      </c>
      <c r="D10" s="461"/>
      <c r="E10" s="461"/>
      <c r="F10" s="461"/>
      <c r="G10" s="461"/>
      <c r="H10" s="461"/>
      <c r="I10" s="461"/>
      <c r="J10" s="461"/>
      <c r="K10" s="462"/>
      <c r="L10" s="105"/>
      <c r="M10" s="97"/>
    </row>
    <row r="11" spans="1:13" ht="21" customHeight="1">
      <c r="A11" s="97"/>
      <c r="B11" s="104"/>
      <c r="C11" s="465" t="s">
        <v>85</v>
      </c>
      <c r="D11" s="479" t="s">
        <v>60</v>
      </c>
      <c r="E11" s="481" t="s">
        <v>61</v>
      </c>
      <c r="F11" s="481"/>
      <c r="G11" s="465" t="s">
        <v>9</v>
      </c>
      <c r="H11" s="479" t="s">
        <v>62</v>
      </c>
      <c r="I11" s="479" t="s">
        <v>3</v>
      </c>
      <c r="J11" s="482" t="s">
        <v>2</v>
      </c>
      <c r="K11" s="463" t="s">
        <v>63</v>
      </c>
      <c r="L11" s="105"/>
      <c r="M11" s="97"/>
    </row>
    <row r="12" spans="1:13" ht="22.15" customHeight="1" thickBot="1">
      <c r="A12" s="97"/>
      <c r="B12" s="104"/>
      <c r="C12" s="466"/>
      <c r="D12" s="480"/>
      <c r="E12" s="444" t="s">
        <v>64</v>
      </c>
      <c r="F12" s="444" t="s">
        <v>65</v>
      </c>
      <c r="G12" s="466"/>
      <c r="H12" s="480"/>
      <c r="I12" s="480"/>
      <c r="J12" s="483"/>
      <c r="K12" s="464"/>
      <c r="L12" s="105"/>
      <c r="M12" s="97"/>
    </row>
    <row r="13" spans="1:13" ht="30" customHeight="1" thickBot="1">
      <c r="A13" s="97"/>
      <c r="B13" s="104"/>
      <c r="C13" s="457" t="s">
        <v>445</v>
      </c>
      <c r="D13" s="458"/>
      <c r="E13" s="458"/>
      <c r="F13" s="458"/>
      <c r="G13" s="458"/>
      <c r="H13" s="458"/>
      <c r="I13" s="458"/>
      <c r="J13" s="458"/>
      <c r="K13" s="459"/>
      <c r="L13" s="105"/>
      <c r="M13" s="97"/>
    </row>
    <row r="14" spans="1:13">
      <c r="A14" s="97"/>
      <c r="B14" s="104"/>
      <c r="C14" s="111">
        <v>1</v>
      </c>
      <c r="D14" s="112" t="s">
        <v>446</v>
      </c>
      <c r="E14" s="113"/>
      <c r="F14" s="113"/>
      <c r="G14" s="125" t="s">
        <v>447</v>
      </c>
      <c r="H14" s="113" t="s">
        <v>7</v>
      </c>
      <c r="I14" s="376">
        <v>50</v>
      </c>
      <c r="J14" s="117">
        <f>12601*1.3559</f>
        <v>17085.695900000002</v>
      </c>
      <c r="K14" s="115">
        <f t="shared" ref="K14:K15" si="0">ROUND(J14*I14,0)</f>
        <v>854285</v>
      </c>
      <c r="L14" s="105"/>
      <c r="M14" s="97"/>
    </row>
    <row r="15" spans="1:13" ht="31.5">
      <c r="A15" s="97"/>
      <c r="B15" s="104"/>
      <c r="C15" s="111">
        <v>2</v>
      </c>
      <c r="D15" s="112" t="s">
        <v>448</v>
      </c>
      <c r="E15" s="113"/>
      <c r="F15" s="113"/>
      <c r="G15" s="125" t="s">
        <v>449</v>
      </c>
      <c r="H15" s="113" t="s">
        <v>6</v>
      </c>
      <c r="I15" s="376">
        <v>10</v>
      </c>
      <c r="J15" s="117">
        <f>213871*1.3559</f>
        <v>289987.68890000001</v>
      </c>
      <c r="K15" s="115">
        <f t="shared" si="0"/>
        <v>2899877</v>
      </c>
      <c r="L15" s="105"/>
      <c r="M15" s="97"/>
    </row>
    <row r="16" spans="1:13" ht="30" customHeight="1" thickBot="1">
      <c r="A16" s="97"/>
      <c r="B16" s="104"/>
      <c r="C16" s="120" t="s">
        <v>66</v>
      </c>
      <c r="D16" s="121"/>
      <c r="E16" s="122"/>
      <c r="F16" s="121"/>
      <c r="G16" s="121"/>
      <c r="H16" s="121"/>
      <c r="I16" s="116"/>
      <c r="J16" s="121"/>
      <c r="K16" s="123">
        <f>SUM(K14:K15)</f>
        <v>3754162</v>
      </c>
      <c r="L16" s="105"/>
      <c r="M16" s="97"/>
    </row>
    <row r="17" spans="1:13" ht="30" customHeight="1" thickBot="1">
      <c r="A17" s="97"/>
      <c r="B17" s="104"/>
      <c r="C17" s="457" t="s">
        <v>148</v>
      </c>
      <c r="D17" s="458"/>
      <c r="E17" s="458"/>
      <c r="F17" s="458"/>
      <c r="G17" s="458"/>
      <c r="H17" s="458"/>
      <c r="I17" s="458"/>
      <c r="J17" s="458"/>
      <c r="K17" s="459"/>
      <c r="L17" s="105"/>
      <c r="M17" s="97"/>
    </row>
    <row r="18" spans="1:13">
      <c r="A18" s="97"/>
      <c r="B18" s="104"/>
      <c r="C18" s="111">
        <v>3</v>
      </c>
      <c r="D18" s="112" t="s">
        <v>173</v>
      </c>
      <c r="E18" s="113"/>
      <c r="F18" s="113"/>
      <c r="G18" s="125" t="s">
        <v>174</v>
      </c>
      <c r="H18" s="113" t="s">
        <v>5</v>
      </c>
      <c r="I18" s="376">
        <v>34.35</v>
      </c>
      <c r="J18" s="117">
        <f>33654*1.3559</f>
        <v>45631.458600000005</v>
      </c>
      <c r="K18" s="115">
        <f t="shared" ref="K18" si="1">ROUND(J18*I18,0)</f>
        <v>1567441</v>
      </c>
      <c r="L18" s="105"/>
      <c r="M18" s="97"/>
    </row>
    <row r="19" spans="1:13">
      <c r="A19" s="97"/>
      <c r="B19" s="104"/>
      <c r="C19" s="111">
        <v>4</v>
      </c>
      <c r="D19" s="112" t="s">
        <v>458</v>
      </c>
      <c r="E19" s="113"/>
      <c r="F19" s="113"/>
      <c r="G19" s="125" t="s">
        <v>459</v>
      </c>
      <c r="H19" s="113" t="s">
        <v>5</v>
      </c>
      <c r="I19" s="376">
        <v>6</v>
      </c>
      <c r="J19" s="117">
        <f>29166*1.3559</f>
        <v>39546.179400000001</v>
      </c>
      <c r="K19" s="115">
        <f t="shared" ref="K19:K20" si="2">ROUND(J19*I19,0)</f>
        <v>237277</v>
      </c>
      <c r="L19" s="105"/>
      <c r="M19" s="97"/>
    </row>
    <row r="20" spans="1:13">
      <c r="A20" s="97"/>
      <c r="B20" s="104"/>
      <c r="C20" s="111">
        <v>5</v>
      </c>
      <c r="D20" s="112" t="s">
        <v>461</v>
      </c>
      <c r="E20" s="113"/>
      <c r="F20" s="113"/>
      <c r="G20" s="125" t="s">
        <v>462</v>
      </c>
      <c r="H20" s="113" t="s">
        <v>5</v>
      </c>
      <c r="I20" s="376">
        <v>16</v>
      </c>
      <c r="J20" s="117">
        <f>48444*1.3559</f>
        <v>65685.219600000011</v>
      </c>
      <c r="K20" s="115">
        <f t="shared" si="2"/>
        <v>1050964</v>
      </c>
      <c r="L20" s="105"/>
      <c r="M20" s="97"/>
    </row>
    <row r="21" spans="1:13" ht="30" customHeight="1" thickBot="1">
      <c r="A21" s="97"/>
      <c r="B21" s="104"/>
      <c r="C21" s="120" t="s">
        <v>66</v>
      </c>
      <c r="D21" s="121"/>
      <c r="E21" s="122"/>
      <c r="F21" s="121"/>
      <c r="G21" s="121"/>
      <c r="H21" s="121"/>
      <c r="I21" s="116"/>
      <c r="J21" s="121"/>
      <c r="K21" s="123">
        <f>SUM(K18:K20)</f>
        <v>2855682</v>
      </c>
      <c r="L21" s="105"/>
      <c r="M21" s="97"/>
    </row>
    <row r="22" spans="1:13" ht="30" customHeight="1" thickBot="1">
      <c r="A22" s="97"/>
      <c r="B22" s="104"/>
      <c r="C22" s="457" t="s">
        <v>149</v>
      </c>
      <c r="D22" s="458"/>
      <c r="E22" s="458"/>
      <c r="F22" s="458"/>
      <c r="G22" s="458"/>
      <c r="H22" s="458"/>
      <c r="I22" s="458"/>
      <c r="J22" s="458"/>
      <c r="K22" s="459"/>
      <c r="L22" s="105"/>
      <c r="M22" s="97"/>
    </row>
    <row r="23" spans="1:13" ht="47.25">
      <c r="A23" s="97"/>
      <c r="B23" s="104"/>
      <c r="C23" s="386">
        <v>6</v>
      </c>
      <c r="D23" s="389" t="s">
        <v>342</v>
      </c>
      <c r="E23" s="386"/>
      <c r="F23" s="386"/>
      <c r="G23" s="392" t="s">
        <v>343</v>
      </c>
      <c r="H23" s="398" t="s">
        <v>6</v>
      </c>
      <c r="I23" s="390">
        <v>3</v>
      </c>
      <c r="J23" s="377">
        <f>1301462*1.3559</f>
        <v>1764652.3258000002</v>
      </c>
      <c r="K23" s="377">
        <f t="shared" ref="K23:K24" si="3">ROUND(J23*I23,0)</f>
        <v>5293957</v>
      </c>
      <c r="L23" s="105"/>
      <c r="M23" s="97"/>
    </row>
    <row r="24" spans="1:13" ht="31.5">
      <c r="A24" s="97"/>
      <c r="B24" s="104"/>
      <c r="C24" s="378">
        <v>7</v>
      </c>
      <c r="D24" s="388" t="s">
        <v>352</v>
      </c>
      <c r="E24" s="378"/>
      <c r="F24" s="378"/>
      <c r="G24" s="391" t="s">
        <v>353</v>
      </c>
      <c r="H24" s="397" t="s">
        <v>7</v>
      </c>
      <c r="I24" s="376">
        <v>68.8</v>
      </c>
      <c r="J24" s="375">
        <f>44571*1.3559</f>
        <v>60433.818900000006</v>
      </c>
      <c r="K24" s="375">
        <f t="shared" si="3"/>
        <v>4157847</v>
      </c>
      <c r="L24" s="105"/>
      <c r="M24" s="97"/>
    </row>
    <row r="25" spans="1:13" ht="31.5">
      <c r="A25" s="97"/>
      <c r="B25" s="104"/>
      <c r="C25" s="378">
        <v>8</v>
      </c>
      <c r="D25" s="388" t="s">
        <v>463</v>
      </c>
      <c r="E25" s="378"/>
      <c r="F25" s="378"/>
      <c r="G25" s="391" t="s">
        <v>464</v>
      </c>
      <c r="H25" s="397" t="s">
        <v>6</v>
      </c>
      <c r="I25" s="376">
        <v>10</v>
      </c>
      <c r="J25" s="375">
        <f>128641*1.3559</f>
        <v>174424.33190000002</v>
      </c>
      <c r="K25" s="375">
        <f t="shared" ref="K25:K30" si="4">ROUND(J25*I25,0)</f>
        <v>1744243</v>
      </c>
      <c r="L25" s="105"/>
      <c r="M25" s="97"/>
    </row>
    <row r="26" spans="1:13" ht="31.5">
      <c r="A26" s="97"/>
      <c r="B26" s="104"/>
      <c r="C26" s="378">
        <v>9</v>
      </c>
      <c r="D26" s="388" t="s">
        <v>281</v>
      </c>
      <c r="E26" s="378"/>
      <c r="F26" s="378"/>
      <c r="G26" s="391" t="s">
        <v>290</v>
      </c>
      <c r="H26" s="397" t="s">
        <v>6</v>
      </c>
      <c r="I26" s="376">
        <v>6</v>
      </c>
      <c r="J26" s="375">
        <f>169662*1.3559</f>
        <v>230044.70580000003</v>
      </c>
      <c r="K26" s="375">
        <f t="shared" si="4"/>
        <v>1380268</v>
      </c>
      <c r="L26" s="105"/>
      <c r="M26" s="97"/>
    </row>
    <row r="27" spans="1:13" ht="47.45" customHeight="1">
      <c r="A27" s="97"/>
      <c r="B27" s="104"/>
      <c r="C27" s="378">
        <v>10</v>
      </c>
      <c r="D27" s="388" t="s">
        <v>288</v>
      </c>
      <c r="E27" s="378"/>
      <c r="F27" s="378"/>
      <c r="G27" s="391" t="s">
        <v>289</v>
      </c>
      <c r="H27" s="397" t="s">
        <v>6</v>
      </c>
      <c r="I27" s="376">
        <v>10</v>
      </c>
      <c r="J27" s="375">
        <f>98563*1.3559</f>
        <v>133641.5717</v>
      </c>
      <c r="K27" s="375">
        <f t="shared" ref="K27" si="5">ROUND(J27*I27,0)</f>
        <v>1336416</v>
      </c>
      <c r="L27" s="105"/>
      <c r="M27" s="97"/>
    </row>
    <row r="28" spans="1:13" ht="47.45" customHeight="1">
      <c r="A28" s="97"/>
      <c r="B28" s="104"/>
      <c r="C28" s="378">
        <v>11</v>
      </c>
      <c r="D28" s="388" t="s">
        <v>471</v>
      </c>
      <c r="E28" s="378"/>
      <c r="F28" s="378"/>
      <c r="G28" s="391" t="s">
        <v>472</v>
      </c>
      <c r="H28" s="397" t="s">
        <v>7</v>
      </c>
      <c r="I28" s="376">
        <v>25</v>
      </c>
      <c r="J28" s="375">
        <f>45081*1.3559</f>
        <v>61125.327900000004</v>
      </c>
      <c r="K28" s="375">
        <f t="shared" si="4"/>
        <v>1528133</v>
      </c>
      <c r="L28" s="105"/>
      <c r="M28" s="97"/>
    </row>
    <row r="29" spans="1:13" ht="47.45" customHeight="1">
      <c r="A29" s="97"/>
      <c r="B29" s="104"/>
      <c r="C29" s="378">
        <v>12</v>
      </c>
      <c r="D29" s="388" t="s">
        <v>473</v>
      </c>
      <c r="E29" s="378"/>
      <c r="F29" s="378"/>
      <c r="G29" s="391" t="s">
        <v>474</v>
      </c>
      <c r="H29" s="397" t="s">
        <v>7</v>
      </c>
      <c r="I29" s="376">
        <v>70</v>
      </c>
      <c r="J29" s="375">
        <f>91953*1.3559</f>
        <v>124679.0727</v>
      </c>
      <c r="K29" s="375">
        <f t="shared" si="4"/>
        <v>8727535</v>
      </c>
      <c r="L29" s="105"/>
      <c r="M29" s="97"/>
    </row>
    <row r="30" spans="1:13" ht="47.45" customHeight="1">
      <c r="A30" s="97"/>
      <c r="B30" s="104"/>
      <c r="C30" s="378">
        <v>13</v>
      </c>
      <c r="D30" s="388" t="s">
        <v>301</v>
      </c>
      <c r="E30" s="378"/>
      <c r="F30" s="378"/>
      <c r="G30" s="391" t="s">
        <v>304</v>
      </c>
      <c r="H30" s="397" t="s">
        <v>6</v>
      </c>
      <c r="I30" s="376">
        <v>1</v>
      </c>
      <c r="J30" s="375">
        <f>18598*1.3559</f>
        <v>25217.028200000001</v>
      </c>
      <c r="K30" s="375">
        <f t="shared" si="4"/>
        <v>25217</v>
      </c>
      <c r="L30" s="105"/>
      <c r="M30" s="97"/>
    </row>
    <row r="31" spans="1:13" ht="30" customHeight="1" thickBot="1">
      <c r="A31" s="97"/>
      <c r="B31" s="104"/>
      <c r="C31" s="384" t="s">
        <v>66</v>
      </c>
      <c r="D31" s="126"/>
      <c r="E31" s="126"/>
      <c r="F31" s="126"/>
      <c r="G31" s="127"/>
      <c r="H31" s="126"/>
      <c r="I31" s="385"/>
      <c r="J31" s="128"/>
      <c r="K31" s="129">
        <f>K30+K29+K28+K27+K26+K25+K24+K23</f>
        <v>24193616</v>
      </c>
      <c r="L31" s="105"/>
      <c r="M31" s="97"/>
    </row>
    <row r="32" spans="1:13" ht="30" customHeight="1" thickBot="1">
      <c r="A32" s="97"/>
      <c r="B32" s="104"/>
      <c r="C32" s="108"/>
      <c r="D32" s="109"/>
      <c r="E32" s="109"/>
      <c r="F32" s="109"/>
      <c r="G32" s="109" t="s">
        <v>608</v>
      </c>
      <c r="H32" s="109"/>
      <c r="I32" s="109"/>
      <c r="J32" s="109"/>
      <c r="K32" s="110"/>
      <c r="L32" s="105"/>
      <c r="M32" s="97"/>
    </row>
    <row r="33" spans="1:13">
      <c r="A33" s="97"/>
      <c r="B33" s="104"/>
      <c r="C33" s="111">
        <v>14</v>
      </c>
      <c r="D33" s="112" t="s">
        <v>481</v>
      </c>
      <c r="E33" s="124"/>
      <c r="F33" s="124"/>
      <c r="G33" s="125" t="s">
        <v>482</v>
      </c>
      <c r="H33" s="124" t="s">
        <v>5</v>
      </c>
      <c r="I33" s="376">
        <v>48.8</v>
      </c>
      <c r="J33" s="114">
        <f>130091*1.3559</f>
        <v>176390.38690000001</v>
      </c>
      <c r="K33" s="115">
        <f t="shared" ref="K33" si="6">ROUND(J33*I33,0)</f>
        <v>8607851</v>
      </c>
      <c r="L33" s="105"/>
      <c r="M33" s="97"/>
    </row>
    <row r="34" spans="1:13" ht="30" customHeight="1" thickBot="1">
      <c r="A34" s="97"/>
      <c r="B34" s="104"/>
      <c r="C34" s="384" t="s">
        <v>66</v>
      </c>
      <c r="D34" s="126"/>
      <c r="E34" s="126"/>
      <c r="F34" s="126"/>
      <c r="G34" s="127"/>
      <c r="H34" s="126"/>
      <c r="I34" s="385"/>
      <c r="J34" s="128"/>
      <c r="K34" s="129">
        <f>K33</f>
        <v>8607851</v>
      </c>
      <c r="L34" s="105"/>
      <c r="M34" s="97"/>
    </row>
    <row r="35" spans="1:13" ht="30" customHeight="1" thickBot="1">
      <c r="A35" s="97"/>
      <c r="B35" s="104"/>
      <c r="C35" s="108"/>
      <c r="D35" s="109"/>
      <c r="E35" s="109"/>
      <c r="F35" s="109"/>
      <c r="G35" s="109" t="s">
        <v>609</v>
      </c>
      <c r="H35" s="109"/>
      <c r="I35" s="109"/>
      <c r="J35" s="109"/>
      <c r="K35" s="110"/>
      <c r="L35" s="105"/>
      <c r="M35" s="97"/>
    </row>
    <row r="36" spans="1:13" ht="46.9" customHeight="1">
      <c r="A36" s="97"/>
      <c r="B36" s="104"/>
      <c r="C36" s="111">
        <v>15</v>
      </c>
      <c r="D36" s="112" t="s">
        <v>485</v>
      </c>
      <c r="E36" s="124"/>
      <c r="F36" s="124"/>
      <c r="G36" s="125" t="s">
        <v>486</v>
      </c>
      <c r="H36" s="124" t="s">
        <v>53</v>
      </c>
      <c r="I36" s="376">
        <v>200</v>
      </c>
      <c r="J36" s="114">
        <f>8209*1.3559</f>
        <v>11130.583100000002</v>
      </c>
      <c r="K36" s="115">
        <f t="shared" ref="K36:K37" si="7">ROUND(J36*I36,0)</f>
        <v>2226117</v>
      </c>
      <c r="L36" s="105"/>
      <c r="M36" s="97"/>
    </row>
    <row r="37" spans="1:13" ht="46.9" customHeight="1">
      <c r="A37" s="97"/>
      <c r="B37" s="104"/>
      <c r="C37" s="111">
        <v>16</v>
      </c>
      <c r="D37" s="112" t="s">
        <v>487</v>
      </c>
      <c r="E37" s="124"/>
      <c r="F37" s="124"/>
      <c r="G37" s="125" t="s">
        <v>488</v>
      </c>
      <c r="H37" s="124" t="s">
        <v>8</v>
      </c>
      <c r="I37" s="445">
        <v>15</v>
      </c>
      <c r="J37" s="114">
        <f>99079*1.3559</f>
        <v>134341.21610000002</v>
      </c>
      <c r="K37" s="115">
        <f t="shared" si="7"/>
        <v>2015118</v>
      </c>
      <c r="L37" s="105"/>
      <c r="M37" s="97"/>
    </row>
    <row r="38" spans="1:13" ht="46.9" customHeight="1">
      <c r="A38" s="97"/>
      <c r="B38" s="104"/>
      <c r="C38" s="111">
        <v>17</v>
      </c>
      <c r="D38" s="112" t="s">
        <v>492</v>
      </c>
      <c r="E38" s="124"/>
      <c r="F38" s="124"/>
      <c r="G38" s="125" t="s">
        <v>493</v>
      </c>
      <c r="H38" s="124" t="s">
        <v>7</v>
      </c>
      <c r="I38" s="445">
        <v>12</v>
      </c>
      <c r="J38" s="114">
        <f>15518*1.3559</f>
        <v>21040.856200000002</v>
      </c>
      <c r="K38" s="115">
        <f t="shared" ref="K38" si="8">ROUND(J38*I38,0)</f>
        <v>252490</v>
      </c>
      <c r="L38" s="105"/>
      <c r="M38" s="97"/>
    </row>
    <row r="39" spans="1:13" ht="30" customHeight="1" thickBot="1">
      <c r="A39" s="97"/>
      <c r="B39" s="104"/>
      <c r="C39" s="120" t="s">
        <v>66</v>
      </c>
      <c r="D39" s="126"/>
      <c r="E39" s="126"/>
      <c r="F39" s="126"/>
      <c r="G39" s="127"/>
      <c r="H39" s="126"/>
      <c r="I39" s="116"/>
      <c r="J39" s="128"/>
      <c r="K39" s="129">
        <f>SUM(K36:K38)</f>
        <v>4493725</v>
      </c>
      <c r="L39" s="105"/>
      <c r="M39" s="97"/>
    </row>
    <row r="40" spans="1:13" ht="30" customHeight="1" thickBot="1">
      <c r="A40" s="97"/>
      <c r="B40" s="104"/>
      <c r="C40" s="108"/>
      <c r="D40" s="109"/>
      <c r="E40" s="109"/>
      <c r="F40" s="109"/>
      <c r="G40" s="109" t="s">
        <v>610</v>
      </c>
      <c r="H40" s="109"/>
      <c r="I40" s="109"/>
      <c r="J40" s="109"/>
      <c r="K40" s="110"/>
      <c r="L40" s="105"/>
      <c r="M40" s="97"/>
    </row>
    <row r="41" spans="1:13" ht="46.9" customHeight="1">
      <c r="A41" s="97"/>
      <c r="B41" s="104"/>
      <c r="C41" s="111">
        <v>18</v>
      </c>
      <c r="D41" s="112" t="s">
        <v>496</v>
      </c>
      <c r="E41" s="124"/>
      <c r="F41" s="124"/>
      <c r="G41" s="125" t="s">
        <v>497</v>
      </c>
      <c r="H41" s="124" t="s">
        <v>8</v>
      </c>
      <c r="I41" s="376">
        <v>6</v>
      </c>
      <c r="J41" s="114">
        <f>58495*1.3559</f>
        <v>79313.370500000005</v>
      </c>
      <c r="K41" s="115">
        <f t="shared" ref="K41:K42" si="9">ROUND(J41*I41,0)</f>
        <v>475880</v>
      </c>
      <c r="L41" s="105"/>
      <c r="M41" s="97"/>
    </row>
    <row r="42" spans="1:13" ht="46.9" customHeight="1">
      <c r="A42" s="97"/>
      <c r="B42" s="104"/>
      <c r="C42" s="111">
        <v>19</v>
      </c>
      <c r="D42" s="112" t="s">
        <v>500</v>
      </c>
      <c r="E42" s="124"/>
      <c r="F42" s="124"/>
      <c r="G42" s="125" t="s">
        <v>501</v>
      </c>
      <c r="H42" s="124" t="s">
        <v>8</v>
      </c>
      <c r="I42" s="445">
        <v>6.57</v>
      </c>
      <c r="J42" s="114">
        <f>147950*1.3559</f>
        <v>200605.40500000003</v>
      </c>
      <c r="K42" s="115">
        <f t="shared" si="9"/>
        <v>1317978</v>
      </c>
      <c r="L42" s="105"/>
      <c r="M42" s="97"/>
    </row>
    <row r="43" spans="1:13" ht="46.9" customHeight="1">
      <c r="A43" s="97"/>
      <c r="B43" s="104"/>
      <c r="C43" s="111">
        <v>20</v>
      </c>
      <c r="D43" s="112" t="s">
        <v>503</v>
      </c>
      <c r="E43" s="124"/>
      <c r="F43" s="124"/>
      <c r="G43" s="125" t="s">
        <v>504</v>
      </c>
      <c r="H43" s="124" t="s">
        <v>6</v>
      </c>
      <c r="I43" s="445">
        <v>15</v>
      </c>
      <c r="J43" s="114">
        <f>19172*1.3559</f>
        <v>25995.314800000004</v>
      </c>
      <c r="K43" s="115">
        <f t="shared" ref="K43:K44" si="10">ROUND(J43*I43,0)</f>
        <v>389930</v>
      </c>
      <c r="L43" s="105"/>
      <c r="M43" s="97"/>
    </row>
    <row r="44" spans="1:13" ht="46.9" customHeight="1">
      <c r="A44" s="97"/>
      <c r="B44" s="104"/>
      <c r="C44" s="111">
        <v>21</v>
      </c>
      <c r="D44" s="112" t="s">
        <v>512</v>
      </c>
      <c r="E44" s="124"/>
      <c r="F44" s="124"/>
      <c r="G44" s="125" t="s">
        <v>513</v>
      </c>
      <c r="H44" s="124" t="s">
        <v>6</v>
      </c>
      <c r="I44" s="445">
        <v>42</v>
      </c>
      <c r="J44" s="114">
        <f>15940*1.3559</f>
        <v>21613.046000000002</v>
      </c>
      <c r="K44" s="115">
        <f t="shared" si="10"/>
        <v>907748</v>
      </c>
      <c r="L44" s="105"/>
      <c r="M44" s="97"/>
    </row>
    <row r="45" spans="1:13" ht="30" customHeight="1" thickBot="1">
      <c r="A45" s="97"/>
      <c r="B45" s="104"/>
      <c r="C45" s="120" t="s">
        <v>66</v>
      </c>
      <c r="D45" s="126"/>
      <c r="E45" s="126"/>
      <c r="F45" s="126"/>
      <c r="G45" s="127"/>
      <c r="H45" s="126"/>
      <c r="I45" s="116"/>
      <c r="J45" s="128"/>
      <c r="K45" s="129">
        <f>SUM(K41:K44)</f>
        <v>3091536</v>
      </c>
      <c r="L45" s="105"/>
      <c r="M45" s="97"/>
    </row>
    <row r="46" spans="1:13" ht="30" customHeight="1" thickBot="1">
      <c r="A46" s="97"/>
      <c r="B46" s="104"/>
      <c r="C46" s="108"/>
      <c r="D46" s="109"/>
      <c r="E46" s="109"/>
      <c r="F46" s="109"/>
      <c r="G46" s="109" t="s">
        <v>178</v>
      </c>
      <c r="H46" s="109"/>
      <c r="I46" s="109"/>
      <c r="J46" s="109"/>
      <c r="K46" s="110"/>
      <c r="L46" s="105"/>
      <c r="M46" s="97"/>
    </row>
    <row r="47" spans="1:13" ht="46.9" customHeight="1">
      <c r="A47" s="97"/>
      <c r="B47" s="104"/>
      <c r="C47" s="111">
        <v>22</v>
      </c>
      <c r="D47" s="112" t="s">
        <v>356</v>
      </c>
      <c r="E47" s="124"/>
      <c r="F47" s="124"/>
      <c r="G47" s="125" t="s">
        <v>357</v>
      </c>
      <c r="H47" s="124" t="s">
        <v>6</v>
      </c>
      <c r="I47" s="376">
        <v>6</v>
      </c>
      <c r="J47" s="114">
        <f>149057*1.3559</f>
        <v>202106.38630000001</v>
      </c>
      <c r="K47" s="115">
        <f t="shared" ref="K47:K49" si="11">ROUND(J47*I47,0)</f>
        <v>1212638</v>
      </c>
      <c r="L47" s="105"/>
      <c r="M47" s="97"/>
    </row>
    <row r="48" spans="1:13" ht="46.9" customHeight="1">
      <c r="A48" s="97"/>
      <c r="B48" s="104"/>
      <c r="C48" s="111">
        <v>23</v>
      </c>
      <c r="D48" s="112" t="s">
        <v>179</v>
      </c>
      <c r="E48" s="124"/>
      <c r="F48" s="124"/>
      <c r="G48" s="125" t="s">
        <v>180</v>
      </c>
      <c r="H48" s="124" t="s">
        <v>6</v>
      </c>
      <c r="I48" s="445">
        <v>10</v>
      </c>
      <c r="J48" s="114">
        <f>85648*1.3559</f>
        <v>116130.1232</v>
      </c>
      <c r="K48" s="115">
        <f t="shared" si="11"/>
        <v>1161301</v>
      </c>
      <c r="L48" s="105"/>
      <c r="M48" s="97"/>
    </row>
    <row r="49" spans="1:13" ht="46.9" customHeight="1">
      <c r="A49" s="97"/>
      <c r="B49" s="104"/>
      <c r="C49" s="111">
        <v>24</v>
      </c>
      <c r="D49" s="112" t="s">
        <v>315</v>
      </c>
      <c r="E49" s="124"/>
      <c r="F49" s="124"/>
      <c r="G49" s="125" t="s">
        <v>316</v>
      </c>
      <c r="H49" s="124" t="s">
        <v>7</v>
      </c>
      <c r="I49" s="445">
        <v>44.51</v>
      </c>
      <c r="J49" s="114">
        <f>18909*1.3559</f>
        <v>25638.713100000001</v>
      </c>
      <c r="K49" s="115">
        <f t="shared" si="11"/>
        <v>1141179</v>
      </c>
      <c r="L49" s="105"/>
      <c r="M49" s="97"/>
    </row>
    <row r="50" spans="1:13" ht="46.9" customHeight="1">
      <c r="A50" s="97"/>
      <c r="B50" s="104"/>
      <c r="C50" s="111">
        <v>25</v>
      </c>
      <c r="D50" s="112" t="s">
        <v>321</v>
      </c>
      <c r="E50" s="124"/>
      <c r="F50" s="124"/>
      <c r="G50" s="125" t="s">
        <v>322</v>
      </c>
      <c r="H50" s="124" t="s">
        <v>7</v>
      </c>
      <c r="I50" s="445">
        <v>6</v>
      </c>
      <c r="J50" s="114">
        <f>21102*1.3559</f>
        <v>28612.201800000003</v>
      </c>
      <c r="K50" s="115">
        <f t="shared" ref="K50:K51" si="12">ROUND(J50*I50,0)</f>
        <v>171673</v>
      </c>
      <c r="L50" s="105"/>
      <c r="M50" s="97"/>
    </row>
    <row r="51" spans="1:13" ht="46.9" customHeight="1">
      <c r="A51" s="97"/>
      <c r="B51" s="104"/>
      <c r="C51" s="111">
        <v>26</v>
      </c>
      <c r="D51" s="112" t="s">
        <v>518</v>
      </c>
      <c r="E51" s="124"/>
      <c r="F51" s="124"/>
      <c r="G51" s="125" t="s">
        <v>519</v>
      </c>
      <c r="H51" s="124" t="s">
        <v>6</v>
      </c>
      <c r="I51" s="445">
        <v>4</v>
      </c>
      <c r="J51" s="114">
        <f>464593*1.3559</f>
        <v>629941.64870000002</v>
      </c>
      <c r="K51" s="115">
        <f t="shared" si="12"/>
        <v>2519767</v>
      </c>
      <c r="L51" s="105"/>
      <c r="M51" s="97"/>
    </row>
    <row r="52" spans="1:13" ht="30" customHeight="1" thickBot="1">
      <c r="A52" s="97"/>
      <c r="B52" s="104"/>
      <c r="C52" s="120" t="s">
        <v>66</v>
      </c>
      <c r="D52" s="126"/>
      <c r="E52" s="126"/>
      <c r="F52" s="126"/>
      <c r="G52" s="127"/>
      <c r="H52" s="126"/>
      <c r="I52" s="116"/>
      <c r="J52" s="128"/>
      <c r="K52" s="129">
        <f>SUM(K47:K51)</f>
        <v>6206558</v>
      </c>
      <c r="L52" s="105"/>
      <c r="M52" s="97"/>
    </row>
    <row r="53" spans="1:13" ht="30" customHeight="1" thickBot="1">
      <c r="A53" s="97"/>
      <c r="B53" s="104"/>
      <c r="C53" s="108"/>
      <c r="D53" s="109"/>
      <c r="E53" s="109"/>
      <c r="F53" s="109"/>
      <c r="G53" s="109" t="s">
        <v>181</v>
      </c>
      <c r="H53" s="109"/>
      <c r="I53" s="109"/>
      <c r="J53" s="109"/>
      <c r="K53" s="110"/>
      <c r="L53" s="105"/>
      <c r="M53" s="97"/>
    </row>
    <row r="54" spans="1:13" ht="51.75" customHeight="1">
      <c r="A54" s="97"/>
      <c r="B54" s="104"/>
      <c r="C54" s="111">
        <v>27</v>
      </c>
      <c r="D54" s="112" t="s">
        <v>364</v>
      </c>
      <c r="E54" s="124"/>
      <c r="F54" s="124"/>
      <c r="G54" s="125" t="s">
        <v>365</v>
      </c>
      <c r="H54" s="124" t="s">
        <v>8</v>
      </c>
      <c r="I54" s="376">
        <v>97.93</v>
      </c>
      <c r="J54" s="114">
        <f>40381*1.3559</f>
        <v>54752.597900000001</v>
      </c>
      <c r="K54" s="115">
        <f t="shared" ref="K54:K55" si="13">ROUND(J54*I54,0)</f>
        <v>5361922</v>
      </c>
      <c r="L54" s="105"/>
      <c r="M54" s="97"/>
    </row>
    <row r="55" spans="1:13" ht="52.9" customHeight="1">
      <c r="A55" s="97"/>
      <c r="B55" s="104"/>
      <c r="C55" s="111">
        <v>28</v>
      </c>
      <c r="D55" s="112" t="s">
        <v>327</v>
      </c>
      <c r="E55" s="124"/>
      <c r="F55" s="124"/>
      <c r="G55" s="125" t="s">
        <v>328</v>
      </c>
      <c r="H55" s="124" t="s">
        <v>7</v>
      </c>
      <c r="I55" s="376">
        <v>46</v>
      </c>
      <c r="J55" s="114">
        <f>20770*1.3559</f>
        <v>28162.043000000001</v>
      </c>
      <c r="K55" s="115">
        <f t="shared" si="13"/>
        <v>1295454</v>
      </c>
      <c r="L55" s="105"/>
      <c r="M55" s="97"/>
    </row>
    <row r="56" spans="1:13" ht="30" customHeight="1" thickBot="1">
      <c r="A56" s="97"/>
      <c r="B56" s="104"/>
      <c r="C56" s="120" t="s">
        <v>66</v>
      </c>
      <c r="D56" s="126"/>
      <c r="E56" s="126"/>
      <c r="F56" s="126"/>
      <c r="G56" s="127"/>
      <c r="H56" s="126"/>
      <c r="I56" s="116"/>
      <c r="J56" s="128"/>
      <c r="K56" s="129">
        <f>SUM(K54:K55)</f>
        <v>6657376</v>
      </c>
      <c r="L56" s="105"/>
      <c r="M56" s="97"/>
    </row>
    <row r="57" spans="1:13" ht="30" customHeight="1" thickBot="1">
      <c r="A57" s="97"/>
      <c r="B57" s="104"/>
      <c r="C57" s="108"/>
      <c r="D57" s="109"/>
      <c r="E57" s="109"/>
      <c r="F57" s="109"/>
      <c r="G57" s="109" t="s">
        <v>265</v>
      </c>
      <c r="H57" s="109"/>
      <c r="I57" s="109"/>
      <c r="J57" s="109"/>
      <c r="K57" s="110"/>
      <c r="L57" s="105"/>
      <c r="M57" s="97"/>
    </row>
    <row r="58" spans="1:13" ht="51.75" customHeight="1">
      <c r="A58" s="97"/>
      <c r="B58" s="104"/>
      <c r="C58" s="111">
        <v>29</v>
      </c>
      <c r="D58" s="112" t="s">
        <v>374</v>
      </c>
      <c r="E58" s="124"/>
      <c r="F58" s="124"/>
      <c r="G58" s="125" t="s">
        <v>375</v>
      </c>
      <c r="H58" s="124" t="s">
        <v>7</v>
      </c>
      <c r="I58" s="376">
        <v>330.74</v>
      </c>
      <c r="J58" s="114">
        <f>111650*1.3559</f>
        <v>151386.23500000002</v>
      </c>
      <c r="K58" s="115">
        <f t="shared" ref="K58:K59" si="14">ROUND(J58*I58,0)</f>
        <v>50069483</v>
      </c>
      <c r="L58" s="105"/>
      <c r="M58" s="97"/>
    </row>
    <row r="59" spans="1:13" ht="52.9" customHeight="1">
      <c r="A59" s="97"/>
      <c r="B59" s="104"/>
      <c r="C59" s="111">
        <v>30</v>
      </c>
      <c r="D59" s="112" t="s">
        <v>263</v>
      </c>
      <c r="E59" s="124"/>
      <c r="F59" s="124"/>
      <c r="G59" s="125" t="s">
        <v>264</v>
      </c>
      <c r="H59" s="124" t="s">
        <v>8</v>
      </c>
      <c r="I59" s="376">
        <v>1543.4</v>
      </c>
      <c r="J59" s="114">
        <f>14481*1.3559</f>
        <v>19634.787900000003</v>
      </c>
      <c r="K59" s="115">
        <f t="shared" si="14"/>
        <v>30304332</v>
      </c>
      <c r="L59" s="105"/>
      <c r="M59" s="97"/>
    </row>
    <row r="60" spans="1:13" ht="30" customHeight="1" thickBot="1">
      <c r="A60" s="97"/>
      <c r="B60" s="104"/>
      <c r="C60" s="120" t="s">
        <v>66</v>
      </c>
      <c r="D60" s="126"/>
      <c r="E60" s="126"/>
      <c r="F60" s="126"/>
      <c r="G60" s="127"/>
      <c r="H60" s="126"/>
      <c r="I60" s="116"/>
      <c r="J60" s="128"/>
      <c r="K60" s="129">
        <f>SUM(K58:K59)</f>
        <v>80373815</v>
      </c>
      <c r="L60" s="105"/>
      <c r="M60" s="97"/>
    </row>
    <row r="61" spans="1:13" ht="30" customHeight="1" thickBot="1">
      <c r="A61" s="97"/>
      <c r="B61" s="104"/>
      <c r="C61" s="108"/>
      <c r="D61" s="109"/>
      <c r="E61" s="109"/>
      <c r="F61" s="109"/>
      <c r="G61" s="109" t="s">
        <v>335</v>
      </c>
      <c r="H61" s="109"/>
      <c r="I61" s="109"/>
      <c r="J61" s="109"/>
      <c r="K61" s="110"/>
      <c r="L61" s="105"/>
      <c r="M61" s="97"/>
    </row>
    <row r="62" spans="1:13" ht="51.75" customHeight="1">
      <c r="A62" s="97"/>
      <c r="B62" s="104"/>
      <c r="C62" s="111">
        <v>31</v>
      </c>
      <c r="D62" s="112" t="s">
        <v>525</v>
      </c>
      <c r="E62" s="124"/>
      <c r="F62" s="124"/>
      <c r="G62" s="125" t="s">
        <v>526</v>
      </c>
      <c r="H62" s="124" t="s">
        <v>8</v>
      </c>
      <c r="I62" s="376">
        <v>240</v>
      </c>
      <c r="J62" s="114">
        <f>74396*1.3559</f>
        <v>100873.53640000001</v>
      </c>
      <c r="K62" s="115">
        <f t="shared" ref="K62" si="15">ROUND(J62*I62,0)</f>
        <v>24209649</v>
      </c>
      <c r="L62" s="105"/>
      <c r="M62" s="97"/>
    </row>
    <row r="63" spans="1:13" ht="30" customHeight="1" thickBot="1">
      <c r="A63" s="97"/>
      <c r="B63" s="104"/>
      <c r="C63" s="120" t="s">
        <v>66</v>
      </c>
      <c r="D63" s="126"/>
      <c r="E63" s="126"/>
      <c r="F63" s="126"/>
      <c r="G63" s="127"/>
      <c r="H63" s="126"/>
      <c r="I63" s="116"/>
      <c r="J63" s="128"/>
      <c r="K63" s="129">
        <f>SUM(K62:K62)</f>
        <v>24209649</v>
      </c>
      <c r="L63" s="105"/>
      <c r="M63" s="97"/>
    </row>
    <row r="64" spans="1:13" ht="30" customHeight="1" thickBot="1">
      <c r="A64" s="97"/>
      <c r="B64" s="104"/>
      <c r="C64" s="108"/>
      <c r="D64" s="109"/>
      <c r="E64" s="109"/>
      <c r="F64" s="109"/>
      <c r="G64" s="109" t="s">
        <v>611</v>
      </c>
      <c r="H64" s="109"/>
      <c r="I64" s="109"/>
      <c r="J64" s="109"/>
      <c r="K64" s="110"/>
      <c r="L64" s="105"/>
      <c r="M64" s="97"/>
    </row>
    <row r="65" spans="1:13" ht="67.5" customHeight="1">
      <c r="A65" s="97"/>
      <c r="B65" s="104"/>
      <c r="C65" s="111">
        <v>32</v>
      </c>
      <c r="D65" s="112" t="s">
        <v>329</v>
      </c>
      <c r="E65" s="124"/>
      <c r="F65" s="124"/>
      <c r="G65" s="125" t="s">
        <v>330</v>
      </c>
      <c r="H65" s="124" t="s">
        <v>8</v>
      </c>
      <c r="I65" s="445">
        <v>268.25</v>
      </c>
      <c r="J65" s="114">
        <f>173052*1.3559</f>
        <v>234641.20680000001</v>
      </c>
      <c r="K65" s="114">
        <f t="shared" ref="K65:K67" si="16">ROUND(J65*I65,0)</f>
        <v>62942504</v>
      </c>
      <c r="L65" s="105"/>
      <c r="M65" s="97"/>
    </row>
    <row r="66" spans="1:13" ht="67.5" customHeight="1">
      <c r="A66" s="97"/>
      <c r="B66" s="104"/>
      <c r="C66" s="111">
        <v>33</v>
      </c>
      <c r="D66" s="112" t="s">
        <v>382</v>
      </c>
      <c r="E66" s="124"/>
      <c r="F66" s="124"/>
      <c r="G66" s="125" t="s">
        <v>383</v>
      </c>
      <c r="H66" s="124" t="s">
        <v>7</v>
      </c>
      <c r="I66" s="445">
        <v>82</v>
      </c>
      <c r="J66" s="114">
        <f>37483*1.3559</f>
        <v>50823.199700000005</v>
      </c>
      <c r="K66" s="114">
        <f t="shared" si="16"/>
        <v>4167502</v>
      </c>
      <c r="L66" s="105"/>
      <c r="M66" s="97"/>
    </row>
    <row r="67" spans="1:13" ht="67.5" customHeight="1">
      <c r="A67" s="97"/>
      <c r="B67" s="104"/>
      <c r="C67" s="111">
        <v>34</v>
      </c>
      <c r="D67" s="112" t="s">
        <v>182</v>
      </c>
      <c r="E67" s="124"/>
      <c r="F67" s="124"/>
      <c r="G67" s="125" t="s">
        <v>183</v>
      </c>
      <c r="H67" s="124" t="s">
        <v>7</v>
      </c>
      <c r="I67" s="445">
        <v>11</v>
      </c>
      <c r="J67" s="114">
        <f>61263*1.3559</f>
        <v>83066.501700000008</v>
      </c>
      <c r="K67" s="114">
        <f t="shared" si="16"/>
        <v>913732</v>
      </c>
      <c r="L67" s="105"/>
      <c r="M67" s="97"/>
    </row>
    <row r="68" spans="1:13" ht="30" customHeight="1" thickBot="1">
      <c r="A68" s="97"/>
      <c r="B68" s="104"/>
      <c r="C68" s="384" t="s">
        <v>66</v>
      </c>
      <c r="D68" s="393"/>
      <c r="E68" s="393"/>
      <c r="F68" s="393"/>
      <c r="G68" s="127"/>
      <c r="H68" s="126"/>
      <c r="I68" s="387"/>
      <c r="J68" s="128"/>
      <c r="K68" s="129">
        <f>SUM(K65:K67)</f>
        <v>68023738</v>
      </c>
      <c r="L68" s="105"/>
      <c r="M68" s="97"/>
    </row>
    <row r="69" spans="1:13" ht="30" customHeight="1" thickBot="1">
      <c r="A69" s="97"/>
      <c r="B69" s="104"/>
      <c r="C69" s="108"/>
      <c r="D69" s="446"/>
      <c r="E69" s="446"/>
      <c r="F69" s="446"/>
      <c r="G69" s="446" t="s">
        <v>612</v>
      </c>
      <c r="H69" s="446"/>
      <c r="I69" s="446"/>
      <c r="J69" s="446"/>
      <c r="K69" s="447"/>
      <c r="L69" s="105"/>
      <c r="M69" s="97"/>
    </row>
    <row r="70" spans="1:13" ht="67.5" customHeight="1">
      <c r="A70" s="97"/>
      <c r="B70" s="104"/>
      <c r="C70" s="111">
        <v>35</v>
      </c>
      <c r="D70" s="112" t="s">
        <v>528</v>
      </c>
      <c r="E70" s="124"/>
      <c r="F70" s="124"/>
      <c r="G70" s="125" t="s">
        <v>529</v>
      </c>
      <c r="H70" s="124" t="s">
        <v>8</v>
      </c>
      <c r="I70" s="445">
        <v>6</v>
      </c>
      <c r="J70" s="114">
        <f>86837*1.3559</f>
        <v>117742.28830000001</v>
      </c>
      <c r="K70" s="114">
        <f t="shared" ref="K70:K71" si="17">ROUND(J70*I70,0)</f>
        <v>706454</v>
      </c>
      <c r="L70" s="105"/>
      <c r="M70" s="97"/>
    </row>
    <row r="71" spans="1:13" ht="67.5" customHeight="1">
      <c r="A71" s="97"/>
      <c r="B71" s="104"/>
      <c r="C71" s="111">
        <v>36</v>
      </c>
      <c r="D71" s="112" t="s">
        <v>536</v>
      </c>
      <c r="E71" s="124"/>
      <c r="F71" s="124"/>
      <c r="G71" s="125" t="s">
        <v>537</v>
      </c>
      <c r="H71" s="124" t="s">
        <v>6</v>
      </c>
      <c r="I71" s="445">
        <v>2</v>
      </c>
      <c r="J71" s="114">
        <f>43268*1.3559</f>
        <v>58667.081200000008</v>
      </c>
      <c r="K71" s="114">
        <f t="shared" si="17"/>
        <v>117334</v>
      </c>
      <c r="L71" s="105"/>
      <c r="M71" s="97"/>
    </row>
    <row r="72" spans="1:13" ht="30" customHeight="1" thickBot="1">
      <c r="A72" s="97"/>
      <c r="B72" s="104"/>
      <c r="C72" s="384" t="s">
        <v>66</v>
      </c>
      <c r="D72" s="393"/>
      <c r="E72" s="393"/>
      <c r="F72" s="393"/>
      <c r="G72" s="127"/>
      <c r="H72" s="126"/>
      <c r="I72" s="387"/>
      <c r="J72" s="128"/>
      <c r="K72" s="129">
        <f>SUM(K70:K71)</f>
        <v>823788</v>
      </c>
      <c r="L72" s="105"/>
      <c r="M72" s="97"/>
    </row>
    <row r="73" spans="1:13" ht="30" customHeight="1" thickBot="1">
      <c r="A73" s="97"/>
      <c r="B73" s="104"/>
      <c r="C73" s="108"/>
      <c r="D73" s="446"/>
      <c r="E73" s="446"/>
      <c r="F73" s="446"/>
      <c r="G73" s="446" t="s">
        <v>613</v>
      </c>
      <c r="H73" s="446"/>
      <c r="I73" s="446"/>
      <c r="J73" s="446"/>
      <c r="K73" s="447"/>
      <c r="L73" s="105"/>
      <c r="M73" s="97"/>
    </row>
    <row r="74" spans="1:13" ht="67.5" customHeight="1">
      <c r="A74" s="97"/>
      <c r="B74" s="104"/>
      <c r="C74" s="111">
        <v>37</v>
      </c>
      <c r="D74" s="112" t="s">
        <v>540</v>
      </c>
      <c r="E74" s="124"/>
      <c r="F74" s="124"/>
      <c r="G74" s="125" t="s">
        <v>541</v>
      </c>
      <c r="H74" s="124" t="s">
        <v>8</v>
      </c>
      <c r="I74" s="445">
        <v>10</v>
      </c>
      <c r="J74" s="114">
        <f>163373*1.3559</f>
        <v>221517.45070000002</v>
      </c>
      <c r="K74" s="114">
        <f t="shared" ref="K74" si="18">ROUND(J74*I74,0)</f>
        <v>2215175</v>
      </c>
      <c r="L74" s="105"/>
      <c r="M74" s="97"/>
    </row>
    <row r="75" spans="1:13" ht="30" customHeight="1" thickBot="1">
      <c r="A75" s="97"/>
      <c r="B75" s="104"/>
      <c r="C75" s="384" t="s">
        <v>66</v>
      </c>
      <c r="D75" s="393"/>
      <c r="E75" s="393"/>
      <c r="F75" s="393"/>
      <c r="G75" s="127"/>
      <c r="H75" s="126"/>
      <c r="I75" s="387"/>
      <c r="J75" s="128"/>
      <c r="K75" s="129">
        <f>SUM(K74)</f>
        <v>2215175</v>
      </c>
      <c r="L75" s="105"/>
      <c r="M75" s="97"/>
    </row>
    <row r="76" spans="1:13" ht="30" customHeight="1" thickBot="1">
      <c r="A76" s="97"/>
      <c r="B76" s="104"/>
      <c r="C76" s="108"/>
      <c r="D76" s="446"/>
      <c r="E76" s="446"/>
      <c r="F76" s="446"/>
      <c r="G76" s="446" t="s">
        <v>614</v>
      </c>
      <c r="H76" s="446"/>
      <c r="I76" s="446"/>
      <c r="J76" s="446"/>
      <c r="K76" s="447"/>
      <c r="L76" s="105"/>
      <c r="M76" s="97"/>
    </row>
    <row r="77" spans="1:13" ht="67.5" customHeight="1">
      <c r="A77" s="97"/>
      <c r="B77" s="104"/>
      <c r="C77" s="111">
        <v>38</v>
      </c>
      <c r="D77" s="112" t="s">
        <v>544</v>
      </c>
      <c r="E77" s="124"/>
      <c r="F77" s="124"/>
      <c r="G77" s="125" t="s">
        <v>545</v>
      </c>
      <c r="H77" s="124" t="s">
        <v>6</v>
      </c>
      <c r="I77" s="445">
        <v>1</v>
      </c>
      <c r="J77" s="114">
        <f>410412*1.3559</f>
        <v>556477.63080000004</v>
      </c>
      <c r="K77" s="114">
        <f t="shared" ref="K77:K79" si="19">ROUND(J77*I77,0)</f>
        <v>556478</v>
      </c>
      <c r="L77" s="105"/>
      <c r="M77" s="97"/>
    </row>
    <row r="78" spans="1:13" ht="67.5" customHeight="1">
      <c r="A78" s="97"/>
      <c r="B78" s="104"/>
      <c r="C78" s="111">
        <v>39</v>
      </c>
      <c r="D78" s="112" t="s">
        <v>548</v>
      </c>
      <c r="E78" s="124"/>
      <c r="F78" s="124"/>
      <c r="G78" s="125" t="s">
        <v>549</v>
      </c>
      <c r="H78" s="124" t="s">
        <v>6</v>
      </c>
      <c r="I78" s="445">
        <v>4</v>
      </c>
      <c r="J78" s="114">
        <f>348147*1.3559</f>
        <v>472052.51730000007</v>
      </c>
      <c r="K78" s="114">
        <f t="shared" si="19"/>
        <v>1888210</v>
      </c>
      <c r="L78" s="105"/>
      <c r="M78" s="97"/>
    </row>
    <row r="79" spans="1:13" ht="67.5" customHeight="1">
      <c r="A79" s="97"/>
      <c r="B79" s="104"/>
      <c r="C79" s="111">
        <v>40</v>
      </c>
      <c r="D79" s="112" t="s">
        <v>555</v>
      </c>
      <c r="E79" s="124"/>
      <c r="F79" s="124"/>
      <c r="G79" s="125" t="s">
        <v>556</v>
      </c>
      <c r="H79" s="124" t="s">
        <v>6</v>
      </c>
      <c r="I79" s="445">
        <v>6</v>
      </c>
      <c r="J79" s="114">
        <f>216598*1.3559</f>
        <v>293685.22820000001</v>
      </c>
      <c r="K79" s="114">
        <f t="shared" si="19"/>
        <v>1762111</v>
      </c>
      <c r="L79" s="105"/>
      <c r="M79" s="97"/>
    </row>
    <row r="80" spans="1:13" ht="30" customHeight="1" thickBot="1">
      <c r="A80" s="97"/>
      <c r="B80" s="104"/>
      <c r="C80" s="384" t="s">
        <v>66</v>
      </c>
      <c r="D80" s="393"/>
      <c r="E80" s="393"/>
      <c r="F80" s="393"/>
      <c r="G80" s="127"/>
      <c r="H80" s="126"/>
      <c r="I80" s="387"/>
      <c r="J80" s="128"/>
      <c r="K80" s="129">
        <f>SUM(K77:K79)</f>
        <v>4206799</v>
      </c>
      <c r="L80" s="105"/>
      <c r="M80" s="97"/>
    </row>
    <row r="81" spans="1:13" ht="30" customHeight="1" thickBot="1">
      <c r="A81" s="97"/>
      <c r="B81" s="104"/>
      <c r="C81" s="108"/>
      <c r="D81" s="446"/>
      <c r="E81" s="446"/>
      <c r="F81" s="446"/>
      <c r="G81" s="446" t="s">
        <v>184</v>
      </c>
      <c r="H81" s="446"/>
      <c r="I81" s="446"/>
      <c r="J81" s="446"/>
      <c r="K81" s="447"/>
      <c r="L81" s="105"/>
      <c r="M81" s="97"/>
    </row>
    <row r="82" spans="1:13" ht="67.5" customHeight="1">
      <c r="A82" s="97"/>
      <c r="B82" s="104"/>
      <c r="C82" s="111">
        <v>41</v>
      </c>
      <c r="D82" s="112" t="s">
        <v>185</v>
      </c>
      <c r="E82" s="124"/>
      <c r="F82" s="124"/>
      <c r="G82" s="125" t="s">
        <v>187</v>
      </c>
      <c r="H82" s="124" t="s">
        <v>8</v>
      </c>
      <c r="I82" s="445">
        <v>509.92</v>
      </c>
      <c r="J82" s="114">
        <f>23330*1.3559</f>
        <v>31633.147000000001</v>
      </c>
      <c r="K82" s="114">
        <f t="shared" ref="K82:K85" si="20">ROUND(J82*I82,0)</f>
        <v>16130374</v>
      </c>
      <c r="L82" s="105"/>
      <c r="M82" s="97"/>
    </row>
    <row r="83" spans="1:13" ht="67.5" customHeight="1">
      <c r="A83" s="97"/>
      <c r="B83" s="104"/>
      <c r="C83" s="111">
        <v>42</v>
      </c>
      <c r="D83" s="112" t="s">
        <v>186</v>
      </c>
      <c r="E83" s="124"/>
      <c r="F83" s="124"/>
      <c r="G83" s="125" t="s">
        <v>188</v>
      </c>
      <c r="H83" s="124" t="s">
        <v>8</v>
      </c>
      <c r="I83" s="445">
        <v>2232.23</v>
      </c>
      <c r="J83" s="114">
        <f>27238*1.3559</f>
        <v>36932.004200000003</v>
      </c>
      <c r="K83" s="114">
        <f t="shared" si="20"/>
        <v>82440728</v>
      </c>
      <c r="L83" s="105"/>
      <c r="M83" s="97"/>
    </row>
    <row r="84" spans="1:13" ht="67.5" customHeight="1">
      <c r="A84" s="97"/>
      <c r="B84" s="104"/>
      <c r="C84" s="111">
        <v>43</v>
      </c>
      <c r="D84" s="112" t="s">
        <v>388</v>
      </c>
      <c r="E84" s="124"/>
      <c r="F84" s="124"/>
      <c r="G84" s="125" t="s">
        <v>389</v>
      </c>
      <c r="H84" s="124" t="s">
        <v>6</v>
      </c>
      <c r="I84" s="445">
        <v>1</v>
      </c>
      <c r="J84" s="114">
        <f>767526*1.3559</f>
        <v>1040688.5034</v>
      </c>
      <c r="K84" s="114">
        <f t="shared" si="20"/>
        <v>1040689</v>
      </c>
      <c r="L84" s="105"/>
      <c r="M84" s="97"/>
    </row>
    <row r="85" spans="1:13" ht="67.5" customHeight="1">
      <c r="A85" s="97"/>
      <c r="B85" s="104"/>
      <c r="C85" s="111">
        <v>44</v>
      </c>
      <c r="D85" s="112" t="s">
        <v>394</v>
      </c>
      <c r="E85" s="124"/>
      <c r="F85" s="124"/>
      <c r="G85" s="125" t="s">
        <v>395</v>
      </c>
      <c r="H85" s="124" t="s">
        <v>8</v>
      </c>
      <c r="I85" s="445">
        <v>80</v>
      </c>
      <c r="J85" s="114">
        <f>26239*1.3559</f>
        <v>35577.460100000004</v>
      </c>
      <c r="K85" s="114">
        <f t="shared" si="20"/>
        <v>2846197</v>
      </c>
      <c r="L85" s="105"/>
      <c r="M85" s="97"/>
    </row>
    <row r="86" spans="1:13" ht="67.5" customHeight="1">
      <c r="A86" s="97"/>
      <c r="B86" s="104"/>
      <c r="C86" s="111">
        <v>45</v>
      </c>
      <c r="D86" s="112" t="s">
        <v>396</v>
      </c>
      <c r="E86" s="124"/>
      <c r="F86" s="124"/>
      <c r="G86" s="125" t="s">
        <v>397</v>
      </c>
      <c r="H86" s="124" t="s">
        <v>7</v>
      </c>
      <c r="I86" s="445">
        <v>352</v>
      </c>
      <c r="J86" s="114">
        <f>22408*1.3559</f>
        <v>30383.007200000004</v>
      </c>
      <c r="K86" s="114">
        <f t="shared" ref="K86:K87" si="21">ROUND(J86*I86,0)</f>
        <v>10694819</v>
      </c>
      <c r="L86" s="105"/>
      <c r="M86" s="97"/>
    </row>
    <row r="87" spans="1:13" ht="67.5" customHeight="1">
      <c r="A87" s="97"/>
      <c r="B87" s="104"/>
      <c r="C87" s="111">
        <v>46</v>
      </c>
      <c r="D87" s="112" t="s">
        <v>398</v>
      </c>
      <c r="E87" s="124"/>
      <c r="F87" s="124"/>
      <c r="G87" s="125" t="s">
        <v>399</v>
      </c>
      <c r="H87" s="124" t="s">
        <v>7</v>
      </c>
      <c r="I87" s="445">
        <v>16.78</v>
      </c>
      <c r="J87" s="114">
        <f>22408*1.3559</f>
        <v>30383.007200000004</v>
      </c>
      <c r="K87" s="114">
        <f t="shared" si="21"/>
        <v>509827</v>
      </c>
      <c r="L87" s="105"/>
      <c r="M87" s="97"/>
    </row>
    <row r="88" spans="1:13" ht="30" customHeight="1" thickBot="1">
      <c r="A88" s="97"/>
      <c r="B88" s="104"/>
      <c r="C88" s="384" t="s">
        <v>66</v>
      </c>
      <c r="D88" s="393"/>
      <c r="E88" s="393"/>
      <c r="F88" s="393"/>
      <c r="G88" s="127"/>
      <c r="H88" s="126"/>
      <c r="I88" s="387"/>
      <c r="J88" s="128"/>
      <c r="K88" s="129">
        <f>SUM(K82:K87)</f>
        <v>113662634</v>
      </c>
      <c r="L88" s="105"/>
      <c r="M88" s="97"/>
    </row>
    <row r="89" spans="1:13" ht="30" customHeight="1" thickBot="1">
      <c r="A89" s="97"/>
      <c r="B89" s="104"/>
      <c r="C89" s="108"/>
      <c r="D89" s="109"/>
      <c r="E89" s="109"/>
      <c r="F89" s="109"/>
      <c r="G89" s="109" t="s">
        <v>615</v>
      </c>
      <c r="H89" s="109"/>
      <c r="I89" s="109"/>
      <c r="J89" s="109"/>
      <c r="K89" s="110"/>
      <c r="L89" s="105"/>
      <c r="M89" s="97"/>
    </row>
    <row r="90" spans="1:13" ht="94.5">
      <c r="A90" s="97"/>
      <c r="B90" s="104"/>
      <c r="C90" s="111">
        <v>47</v>
      </c>
      <c r="D90" s="112" t="s">
        <v>557</v>
      </c>
      <c r="E90" s="124"/>
      <c r="F90" s="124"/>
      <c r="G90" s="125" t="s">
        <v>558</v>
      </c>
      <c r="H90" s="124" t="s">
        <v>7</v>
      </c>
      <c r="I90" s="376">
        <v>64</v>
      </c>
      <c r="J90" s="375">
        <f>809251*1.3559</f>
        <v>1097263.4309</v>
      </c>
      <c r="K90" s="115">
        <f t="shared" ref="K90:K91" si="22">ROUND(J90*I90,0)</f>
        <v>70224860</v>
      </c>
      <c r="L90" s="105"/>
      <c r="M90" s="97"/>
    </row>
    <row r="91" spans="1:13" ht="47.25">
      <c r="A91" s="97"/>
      <c r="B91" s="104"/>
      <c r="C91" s="111">
        <v>48</v>
      </c>
      <c r="D91" s="112" t="s">
        <v>576</v>
      </c>
      <c r="E91" s="124"/>
      <c r="F91" s="124"/>
      <c r="G91" s="125" t="s">
        <v>577</v>
      </c>
      <c r="H91" s="124" t="s">
        <v>7</v>
      </c>
      <c r="I91" s="376">
        <v>93.5</v>
      </c>
      <c r="J91" s="375">
        <f>177561*1.3559</f>
        <v>240754.95990000002</v>
      </c>
      <c r="K91" s="115">
        <f t="shared" si="22"/>
        <v>22510589</v>
      </c>
      <c r="L91" s="105"/>
      <c r="M91" s="97"/>
    </row>
    <row r="92" spans="1:13" ht="30" customHeight="1" thickBot="1">
      <c r="A92" s="97"/>
      <c r="B92" s="104"/>
      <c r="C92" s="120" t="s">
        <v>66</v>
      </c>
      <c r="D92" s="130"/>
      <c r="E92" s="130"/>
      <c r="F92" s="130"/>
      <c r="G92" s="131"/>
      <c r="H92" s="132"/>
      <c r="I92" s="133"/>
      <c r="J92" s="134"/>
      <c r="K92" s="123">
        <f>SUM(K90:K91)</f>
        <v>92735449</v>
      </c>
      <c r="L92" s="105"/>
      <c r="M92" s="97"/>
    </row>
    <row r="93" spans="1:13" ht="30" customHeight="1" thickBot="1">
      <c r="A93" s="97"/>
      <c r="B93" s="104"/>
      <c r="C93" s="108"/>
      <c r="D93" s="109"/>
      <c r="E93" s="109"/>
      <c r="F93" s="109"/>
      <c r="G93" s="109" t="s">
        <v>189</v>
      </c>
      <c r="H93" s="109"/>
      <c r="I93" s="109"/>
      <c r="J93" s="109"/>
      <c r="K93" s="110"/>
      <c r="L93" s="105"/>
      <c r="M93" s="97"/>
    </row>
    <row r="94" spans="1:13">
      <c r="A94" s="97"/>
      <c r="B94" s="104"/>
      <c r="C94" s="111">
        <v>49</v>
      </c>
      <c r="D94" s="112" t="s">
        <v>584</v>
      </c>
      <c r="E94" s="124"/>
      <c r="F94" s="124"/>
      <c r="G94" s="125" t="s">
        <v>585</v>
      </c>
      <c r="H94" s="124" t="s">
        <v>8</v>
      </c>
      <c r="I94" s="376">
        <v>54</v>
      </c>
      <c r="J94" s="375">
        <f>12479*1.3559</f>
        <v>16920.276100000003</v>
      </c>
      <c r="K94" s="115">
        <f t="shared" ref="K94" si="23">ROUND(J94*I94,0)</f>
        <v>913695</v>
      </c>
      <c r="L94" s="105"/>
      <c r="M94" s="97"/>
    </row>
    <row r="95" spans="1:13">
      <c r="A95" s="97"/>
      <c r="B95" s="104"/>
      <c r="C95" s="111">
        <v>50</v>
      </c>
      <c r="D95" s="112" t="s">
        <v>420</v>
      </c>
      <c r="E95" s="124"/>
      <c r="F95" s="124"/>
      <c r="G95" s="125" t="s">
        <v>421</v>
      </c>
      <c r="H95" s="124" t="s">
        <v>8</v>
      </c>
      <c r="I95" s="376">
        <v>210</v>
      </c>
      <c r="J95" s="375">
        <f>11359*1.3559</f>
        <v>15401.668100000001</v>
      </c>
      <c r="K95" s="115">
        <f t="shared" ref="K95" si="24">ROUND(J95*I95,0)</f>
        <v>3234350</v>
      </c>
      <c r="L95" s="105"/>
      <c r="M95" s="97"/>
    </row>
    <row r="96" spans="1:13">
      <c r="A96" s="97"/>
      <c r="B96" s="104"/>
      <c r="C96" s="111">
        <v>51</v>
      </c>
      <c r="D96" s="112" t="s">
        <v>400</v>
      </c>
      <c r="E96" s="124"/>
      <c r="F96" s="124"/>
      <c r="G96" s="125" t="s">
        <v>401</v>
      </c>
      <c r="H96" s="124" t="s">
        <v>7</v>
      </c>
      <c r="I96" s="376">
        <v>330.74</v>
      </c>
      <c r="J96" s="375">
        <f>4605*1.3559</f>
        <v>6243.9195000000009</v>
      </c>
      <c r="K96" s="115">
        <f t="shared" ref="K96" si="25">ROUND(J96*I96,0)</f>
        <v>2065114</v>
      </c>
      <c r="L96" s="105"/>
      <c r="M96" s="97"/>
    </row>
    <row r="97" spans="1:13" ht="30" customHeight="1" thickBot="1">
      <c r="A97" s="97"/>
      <c r="B97" s="104"/>
      <c r="C97" s="120" t="s">
        <v>66</v>
      </c>
      <c r="D97" s="130"/>
      <c r="E97" s="130"/>
      <c r="F97" s="130"/>
      <c r="G97" s="131"/>
      <c r="H97" s="132"/>
      <c r="I97" s="133"/>
      <c r="J97" s="134"/>
      <c r="K97" s="123">
        <f>SUM(K94:K96)</f>
        <v>6213159</v>
      </c>
      <c r="L97" s="105"/>
      <c r="M97" s="97"/>
    </row>
    <row r="98" spans="1:13" ht="30" customHeight="1" thickBot="1">
      <c r="A98" s="97"/>
      <c r="B98" s="104"/>
      <c r="C98" s="108"/>
      <c r="D98" s="109"/>
      <c r="E98" s="109"/>
      <c r="F98" s="109"/>
      <c r="G98" s="109" t="s">
        <v>190</v>
      </c>
      <c r="H98" s="109"/>
      <c r="I98" s="109"/>
      <c r="J98" s="109"/>
      <c r="K98" s="110"/>
      <c r="L98" s="105"/>
      <c r="M98" s="97"/>
    </row>
    <row r="99" spans="1:13" ht="30" customHeight="1">
      <c r="A99" s="97"/>
      <c r="B99" s="104"/>
      <c r="C99" s="111">
        <v>52</v>
      </c>
      <c r="D99" s="112" t="s">
        <v>254</v>
      </c>
      <c r="E99" s="124"/>
      <c r="F99" s="124"/>
      <c r="G99" s="125" t="s">
        <v>256</v>
      </c>
      <c r="H99" s="124" t="s">
        <v>8</v>
      </c>
      <c r="I99" s="376">
        <v>10</v>
      </c>
      <c r="J99" s="375">
        <f>8589*1.3559</f>
        <v>11645.8251</v>
      </c>
      <c r="K99" s="115">
        <f t="shared" ref="K99:K100" si="26">ROUND(J99*I99,0)</f>
        <v>116458</v>
      </c>
      <c r="L99" s="105"/>
      <c r="M99" s="97"/>
    </row>
    <row r="100" spans="1:13" ht="30" customHeight="1">
      <c r="A100" s="97"/>
      <c r="B100" s="104"/>
      <c r="C100" s="111">
        <v>53</v>
      </c>
      <c r="D100" s="112" t="s">
        <v>255</v>
      </c>
      <c r="E100" s="124"/>
      <c r="F100" s="124"/>
      <c r="G100" s="125" t="s">
        <v>257</v>
      </c>
      <c r="H100" s="124" t="s">
        <v>8</v>
      </c>
      <c r="I100" s="376">
        <v>26</v>
      </c>
      <c r="J100" s="375">
        <f>8631*1.3559</f>
        <v>11702.772900000002</v>
      </c>
      <c r="K100" s="115">
        <f t="shared" si="26"/>
        <v>304272</v>
      </c>
      <c r="L100" s="105"/>
      <c r="M100" s="97"/>
    </row>
    <row r="101" spans="1:13">
      <c r="A101" s="97"/>
      <c r="B101" s="104"/>
      <c r="C101" s="111">
        <v>54</v>
      </c>
      <c r="D101" s="112" t="s">
        <v>333</v>
      </c>
      <c r="E101" s="124"/>
      <c r="F101" s="124"/>
      <c r="G101" s="125" t="s">
        <v>334</v>
      </c>
      <c r="H101" s="124" t="s">
        <v>8</v>
      </c>
      <c r="I101" s="376">
        <v>88</v>
      </c>
      <c r="J101" s="375">
        <f>7135*1.3559</f>
        <v>9674.3465000000015</v>
      </c>
      <c r="K101" s="115">
        <f t="shared" ref="K101" si="27">ROUND(J101*I101,0)</f>
        <v>851342</v>
      </c>
      <c r="L101" s="105"/>
      <c r="M101" s="97"/>
    </row>
    <row r="102" spans="1:13">
      <c r="A102" s="97"/>
      <c r="B102" s="104"/>
      <c r="C102" s="111">
        <v>55</v>
      </c>
      <c r="D102" s="112" t="s">
        <v>402</v>
      </c>
      <c r="E102" s="124"/>
      <c r="F102" s="124"/>
      <c r="G102" s="125" t="s">
        <v>403</v>
      </c>
      <c r="H102" s="124" t="s">
        <v>8</v>
      </c>
      <c r="I102" s="376">
        <v>60</v>
      </c>
      <c r="J102" s="375">
        <f>23827*1.3559</f>
        <v>32307.029300000002</v>
      </c>
      <c r="K102" s="115">
        <f t="shared" ref="K102" si="28">ROUND(J102*I102,0)</f>
        <v>1938422</v>
      </c>
      <c r="L102" s="105"/>
      <c r="M102" s="97"/>
    </row>
    <row r="103" spans="1:13" ht="30" customHeight="1" thickBot="1">
      <c r="A103" s="97"/>
      <c r="B103" s="104"/>
      <c r="C103" s="120" t="s">
        <v>66</v>
      </c>
      <c r="D103" s="130"/>
      <c r="E103" s="130"/>
      <c r="F103" s="130"/>
      <c r="G103" s="131"/>
      <c r="H103" s="132"/>
      <c r="I103" s="133"/>
      <c r="J103" s="134"/>
      <c r="K103" s="123">
        <f>SUM(K99:K102)</f>
        <v>3210494</v>
      </c>
      <c r="L103" s="105"/>
      <c r="M103" s="97"/>
    </row>
    <row r="104" spans="1:13" ht="30" customHeight="1" thickBot="1">
      <c r="A104" s="97"/>
      <c r="B104" s="104"/>
      <c r="C104" s="108"/>
      <c r="D104" s="109"/>
      <c r="E104" s="109"/>
      <c r="F104" s="109"/>
      <c r="G104" s="109" t="s">
        <v>150</v>
      </c>
      <c r="H104" s="109"/>
      <c r="I104" s="109"/>
      <c r="J104" s="109"/>
      <c r="K104" s="110"/>
      <c r="L104" s="105"/>
      <c r="M104" s="97"/>
    </row>
    <row r="105" spans="1:13" ht="30" customHeight="1">
      <c r="A105" s="97"/>
      <c r="B105" s="104"/>
      <c r="C105" s="111">
        <v>56</v>
      </c>
      <c r="D105" s="112" t="s">
        <v>266</v>
      </c>
      <c r="E105" s="124"/>
      <c r="F105" s="124"/>
      <c r="G105" s="125" t="s">
        <v>267</v>
      </c>
      <c r="H105" s="124" t="s">
        <v>8</v>
      </c>
      <c r="I105" s="376">
        <v>463.2</v>
      </c>
      <c r="J105" s="114">
        <f>41102*1.3559</f>
        <v>55730.201800000003</v>
      </c>
      <c r="K105" s="115">
        <f t="shared" ref="K105:K106" si="29">ROUND(J105*I105,0)</f>
        <v>25814229</v>
      </c>
      <c r="L105" s="105"/>
      <c r="M105" s="97"/>
    </row>
    <row r="106" spans="1:13" ht="31.5">
      <c r="A106" s="97"/>
      <c r="B106" s="104"/>
      <c r="C106" s="111">
        <v>57</v>
      </c>
      <c r="D106" s="112" t="s">
        <v>586</v>
      </c>
      <c r="E106" s="124"/>
      <c r="F106" s="124"/>
      <c r="G106" s="125" t="s">
        <v>587</v>
      </c>
      <c r="H106" s="124" t="s">
        <v>8</v>
      </c>
      <c r="I106" s="376">
        <v>136.93</v>
      </c>
      <c r="J106" s="114">
        <f>26888*1.3559</f>
        <v>36457.439200000001</v>
      </c>
      <c r="K106" s="115">
        <f t="shared" si="29"/>
        <v>4992117</v>
      </c>
      <c r="L106" s="105"/>
      <c r="M106" s="97"/>
    </row>
    <row r="107" spans="1:13" ht="31.5">
      <c r="A107" s="97"/>
      <c r="B107" s="104"/>
      <c r="C107" s="111">
        <v>58</v>
      </c>
      <c r="D107" s="112" t="s">
        <v>590</v>
      </c>
      <c r="E107" s="124"/>
      <c r="F107" s="124"/>
      <c r="G107" s="125" t="s">
        <v>591</v>
      </c>
      <c r="H107" s="124" t="s">
        <v>6</v>
      </c>
      <c r="I107" s="376">
        <v>3</v>
      </c>
      <c r="J107" s="114">
        <f>713788*1.3559</f>
        <v>967825.1492000001</v>
      </c>
      <c r="K107" s="115">
        <f t="shared" ref="K107:K109" si="30">ROUND(J107*I107,0)</f>
        <v>2903475</v>
      </c>
      <c r="L107" s="105"/>
      <c r="M107" s="97"/>
    </row>
    <row r="108" spans="1:13">
      <c r="A108" s="97"/>
      <c r="B108" s="104"/>
      <c r="C108" s="111">
        <v>59</v>
      </c>
      <c r="D108" s="112" t="s">
        <v>594</v>
      </c>
      <c r="E108" s="124"/>
      <c r="F108" s="124"/>
      <c r="G108" s="125" t="s">
        <v>595</v>
      </c>
      <c r="H108" s="124" t="s">
        <v>8</v>
      </c>
      <c r="I108" s="376">
        <v>50</v>
      </c>
      <c r="J108" s="114">
        <f>63538*1.3559</f>
        <v>86151.174200000009</v>
      </c>
      <c r="K108" s="115">
        <f t="shared" si="30"/>
        <v>4307559</v>
      </c>
      <c r="L108" s="105"/>
      <c r="M108" s="97"/>
    </row>
    <row r="109" spans="1:13" ht="31.5">
      <c r="A109" s="97"/>
      <c r="B109" s="104"/>
      <c r="C109" s="111">
        <v>60</v>
      </c>
      <c r="D109" s="112" t="s">
        <v>600</v>
      </c>
      <c r="E109" s="124"/>
      <c r="F109" s="124"/>
      <c r="G109" s="125" t="s">
        <v>601</v>
      </c>
      <c r="H109" s="124" t="s">
        <v>7</v>
      </c>
      <c r="I109" s="376">
        <v>12</v>
      </c>
      <c r="J109" s="114">
        <f>595858*1.3559</f>
        <v>807923.86220000009</v>
      </c>
      <c r="K109" s="115">
        <f t="shared" si="30"/>
        <v>9695086</v>
      </c>
      <c r="L109" s="105"/>
      <c r="M109" s="97"/>
    </row>
    <row r="110" spans="1:13" ht="78.75">
      <c r="A110" s="97"/>
      <c r="B110" s="104"/>
      <c r="C110" s="111">
        <v>61</v>
      </c>
      <c r="D110" s="112" t="s">
        <v>604</v>
      </c>
      <c r="E110" s="124"/>
      <c r="F110" s="124"/>
      <c r="G110" s="125" t="s">
        <v>605</v>
      </c>
      <c r="H110" s="124" t="s">
        <v>6</v>
      </c>
      <c r="I110" s="376">
        <v>2</v>
      </c>
      <c r="J110" s="114">
        <f>8593575*1.3559</f>
        <v>11652028.342500001</v>
      </c>
      <c r="K110" s="115">
        <f t="shared" ref="K110" si="31">ROUND(J110*I110,0)</f>
        <v>23304057</v>
      </c>
      <c r="L110" s="105"/>
      <c r="M110" s="97"/>
    </row>
    <row r="111" spans="1:13" ht="30" customHeight="1" thickBot="1">
      <c r="A111" s="97"/>
      <c r="B111" s="104"/>
      <c r="C111" s="120" t="s">
        <v>66</v>
      </c>
      <c r="D111" s="130"/>
      <c r="E111" s="130"/>
      <c r="F111" s="130"/>
      <c r="G111" s="131"/>
      <c r="H111" s="132"/>
      <c r="I111" s="133"/>
      <c r="J111" s="134"/>
      <c r="K111" s="123">
        <f>SUM(K105:K110)</f>
        <v>71016523</v>
      </c>
      <c r="L111" s="105"/>
      <c r="M111" s="97"/>
    </row>
    <row r="112" spans="1:13" ht="30" customHeight="1" thickBot="1">
      <c r="A112" s="97"/>
      <c r="B112" s="104"/>
      <c r="C112" s="108"/>
      <c r="D112" s="109"/>
      <c r="E112" s="109"/>
      <c r="F112" s="109"/>
      <c r="G112" s="109" t="s">
        <v>415</v>
      </c>
      <c r="H112" s="109"/>
      <c r="I112" s="109"/>
      <c r="J112" s="109"/>
      <c r="K112" s="110"/>
      <c r="L112" s="105"/>
      <c r="M112" s="97"/>
    </row>
    <row r="113" spans="1:19" ht="30" customHeight="1">
      <c r="A113" s="97"/>
      <c r="B113" s="104"/>
      <c r="C113" s="111">
        <v>62</v>
      </c>
      <c r="D113" s="112" t="s">
        <v>416</v>
      </c>
      <c r="E113" s="124"/>
      <c r="F113" s="124"/>
      <c r="G113" s="125" t="s">
        <v>417</v>
      </c>
      <c r="H113" s="124" t="s">
        <v>5</v>
      </c>
      <c r="I113" s="376">
        <v>15</v>
      </c>
      <c r="J113" s="114">
        <f>32332*1.3559</f>
        <v>43838.9588</v>
      </c>
      <c r="K113" s="115">
        <f t="shared" ref="K113:K114" si="32">ROUND(J113*I113,0)</f>
        <v>657584</v>
      </c>
      <c r="L113" s="105"/>
      <c r="M113" s="97"/>
    </row>
    <row r="114" spans="1:19" ht="31.5">
      <c r="A114" s="97"/>
      <c r="B114" s="104"/>
      <c r="C114" s="111">
        <v>63</v>
      </c>
      <c r="D114" s="112" t="s">
        <v>418</v>
      </c>
      <c r="E114" s="124"/>
      <c r="F114" s="124"/>
      <c r="G114" s="125" t="s">
        <v>419</v>
      </c>
      <c r="H114" s="124" t="s">
        <v>7</v>
      </c>
      <c r="I114" s="376">
        <v>26</v>
      </c>
      <c r="J114" s="114">
        <f>129831*1.3559</f>
        <v>176037.85290000003</v>
      </c>
      <c r="K114" s="115">
        <f t="shared" si="32"/>
        <v>4576984</v>
      </c>
      <c r="L114" s="105"/>
      <c r="M114" s="97"/>
    </row>
    <row r="115" spans="1:19" ht="30" customHeight="1" thickBot="1">
      <c r="A115" s="97"/>
      <c r="B115" s="104"/>
      <c r="C115" s="120" t="s">
        <v>66</v>
      </c>
      <c r="D115" s="130"/>
      <c r="E115" s="130"/>
      <c r="F115" s="130"/>
      <c r="G115" s="131"/>
      <c r="H115" s="132"/>
      <c r="I115" s="133"/>
      <c r="J115" s="134"/>
      <c r="K115" s="123">
        <f>SUM(K113:K114)</f>
        <v>5234568</v>
      </c>
      <c r="L115" s="105"/>
      <c r="M115" s="97"/>
    </row>
    <row r="116" spans="1:19" s="139" customFormat="1" ht="30" customHeight="1" thickBot="1">
      <c r="A116" s="135"/>
      <c r="B116" s="136"/>
      <c r="C116" s="484" t="s">
        <v>67</v>
      </c>
      <c r="D116" s="485"/>
      <c r="E116" s="485"/>
      <c r="F116" s="485"/>
      <c r="G116" s="485"/>
      <c r="H116" s="485"/>
      <c r="I116" s="485"/>
      <c r="J116" s="486"/>
      <c r="K116" s="137">
        <f>K115+K111+K103+K97+K92+K88+K80+K75+K72+K68+K63+K60+K56+K52+K45+K39+K34+K31+K21+K16</f>
        <v>531786297</v>
      </c>
      <c r="L116" s="138"/>
      <c r="M116" s="135"/>
      <c r="N116" s="453">
        <v>1</v>
      </c>
      <c r="P116" s="431"/>
      <c r="Q116" s="429"/>
      <c r="R116" s="429"/>
      <c r="S116" s="430"/>
    </row>
    <row r="117" spans="1:19" s="139" customFormat="1" ht="30" customHeight="1" thickBot="1">
      <c r="A117" s="135"/>
      <c r="B117" s="136"/>
      <c r="C117" s="448"/>
      <c r="D117" s="449"/>
      <c r="E117" s="449"/>
      <c r="F117" s="449"/>
      <c r="G117" s="449"/>
      <c r="H117" s="449"/>
      <c r="I117" s="449"/>
      <c r="J117" s="449"/>
      <c r="K117" s="450"/>
      <c r="L117" s="138"/>
      <c r="M117" s="135"/>
      <c r="P117" s="451"/>
      <c r="Q117" s="429"/>
      <c r="R117" s="429"/>
      <c r="S117" s="452"/>
    </row>
    <row r="118" spans="1:19" s="139" customFormat="1" thickBot="1">
      <c r="A118" s="135"/>
      <c r="B118" s="136"/>
      <c r="C118" s="140"/>
      <c r="D118" s="140"/>
      <c r="E118" s="140"/>
      <c r="F118" s="140"/>
      <c r="G118" s="140"/>
      <c r="H118" s="140"/>
      <c r="I118" s="140"/>
      <c r="J118" s="140"/>
      <c r="K118" s="141"/>
      <c r="L118" s="138"/>
      <c r="M118" s="135"/>
    </row>
    <row r="119" spans="1:19" s="139" customFormat="1" ht="30" customHeight="1" thickBot="1">
      <c r="A119" s="135"/>
      <c r="B119" s="136"/>
      <c r="C119" s="142"/>
      <c r="D119" s="143"/>
      <c r="E119" s="142"/>
      <c r="F119" s="142"/>
      <c r="G119" s="487"/>
      <c r="H119" s="488"/>
      <c r="I119" s="489"/>
      <c r="J119" s="144"/>
      <c r="K119" s="145"/>
      <c r="L119" s="138"/>
      <c r="M119" s="135"/>
    </row>
    <row r="120" spans="1:19" s="139" customFormat="1" ht="30" customHeight="1" thickBot="1">
      <c r="A120" s="135"/>
      <c r="B120" s="136"/>
      <c r="C120" s="142"/>
      <c r="D120" s="146"/>
      <c r="E120" s="146"/>
      <c r="F120" s="146"/>
      <c r="G120" s="147" t="s">
        <v>261</v>
      </c>
      <c r="H120" s="148"/>
      <c r="I120" s="149"/>
      <c r="J120" s="150"/>
      <c r="K120" s="151">
        <f>K116</f>
        <v>531786297</v>
      </c>
      <c r="L120" s="138"/>
      <c r="M120" s="135"/>
      <c r="P120" s="404"/>
      <c r="Q120" s="405"/>
      <c r="S120" s="436"/>
    </row>
    <row r="121" spans="1:19" s="139" customFormat="1" ht="30" customHeight="1" thickBot="1">
      <c r="A121" s="135"/>
      <c r="B121" s="136"/>
      <c r="C121" s="142"/>
      <c r="D121" s="143"/>
      <c r="E121" s="142"/>
      <c r="F121" s="142"/>
      <c r="G121" s="152" t="s">
        <v>262</v>
      </c>
      <c r="H121" s="153"/>
      <c r="I121" s="154"/>
      <c r="J121" s="155"/>
      <c r="K121" s="379">
        <f>SUM(K120:K120)</f>
        <v>531786297</v>
      </c>
      <c r="L121" s="138"/>
      <c r="M121" s="135"/>
      <c r="P121" s="406">
        <f>K120</f>
        <v>531786297</v>
      </c>
      <c r="Q121" s="407" t="s">
        <v>341</v>
      </c>
      <c r="S121" s="436" t="s">
        <v>617</v>
      </c>
    </row>
    <row r="122" spans="1:19" s="139" customFormat="1" ht="15.75">
      <c r="A122" s="135"/>
      <c r="B122" s="136"/>
      <c r="C122" s="142"/>
      <c r="D122" s="143"/>
      <c r="E122" s="143"/>
      <c r="F122" s="143"/>
      <c r="G122" s="142"/>
      <c r="H122" s="142"/>
      <c r="I122" s="156"/>
      <c r="J122" s="157"/>
      <c r="K122" s="158"/>
      <c r="L122" s="138"/>
      <c r="M122" s="135"/>
      <c r="P122" s="399"/>
      <c r="Q122" s="400"/>
    </row>
    <row r="123" spans="1:19" s="383" customFormat="1" ht="15.75">
      <c r="A123" s="380"/>
      <c r="B123" s="381"/>
      <c r="C123" s="492" t="s">
        <v>258</v>
      </c>
      <c r="D123" s="492"/>
      <c r="E123" s="492"/>
      <c r="F123" s="492"/>
      <c r="G123" s="492"/>
      <c r="H123" s="492"/>
      <c r="I123" s="492"/>
      <c r="J123" s="492"/>
      <c r="K123" s="492"/>
      <c r="L123" s="382"/>
      <c r="M123" s="380"/>
      <c r="P123" s="401"/>
      <c r="Q123" s="402"/>
    </row>
    <row r="124" spans="1:19" s="139" customFormat="1" ht="46.5" customHeight="1" thickBot="1">
      <c r="A124" s="135"/>
      <c r="B124" s="136"/>
      <c r="C124" s="490" t="s">
        <v>259</v>
      </c>
      <c r="D124" s="490"/>
      <c r="E124" s="490"/>
      <c r="F124" s="490"/>
      <c r="G124" s="490"/>
      <c r="H124" s="491" t="s">
        <v>9</v>
      </c>
      <c r="I124" s="491"/>
      <c r="J124" s="491"/>
      <c r="K124" s="159" t="s">
        <v>29</v>
      </c>
      <c r="L124" s="160"/>
      <c r="M124" s="135"/>
      <c r="P124" s="403">
        <f>P121</f>
        <v>531786297</v>
      </c>
      <c r="Q124" s="433" t="s">
        <v>305</v>
      </c>
    </row>
    <row r="125" spans="1:19" s="139" customFormat="1" ht="45.75" customHeight="1">
      <c r="A125" s="135"/>
      <c r="B125" s="136"/>
      <c r="C125" s="490" t="s">
        <v>70</v>
      </c>
      <c r="D125" s="490"/>
      <c r="E125" s="490"/>
      <c r="F125" s="490"/>
      <c r="G125" s="490"/>
      <c r="H125" s="493" t="s">
        <v>71</v>
      </c>
      <c r="I125" s="493"/>
      <c r="J125" s="159" t="s">
        <v>72</v>
      </c>
      <c r="K125" s="161">
        <f>'A.U. OBRA'!J43</f>
        <v>0.2959</v>
      </c>
      <c r="L125" s="160"/>
      <c r="M125" s="135"/>
    </row>
    <row r="126" spans="1:19" s="139" customFormat="1" ht="30" customHeight="1">
      <c r="A126" s="135"/>
      <c r="B126" s="136"/>
      <c r="C126" s="490" t="s">
        <v>260</v>
      </c>
      <c r="D126" s="490"/>
      <c r="E126" s="490"/>
      <c r="F126" s="490"/>
      <c r="G126" s="490"/>
      <c r="H126" s="494" t="s">
        <v>74</v>
      </c>
      <c r="I126" s="495"/>
      <c r="J126" s="159" t="s">
        <v>75</v>
      </c>
      <c r="K126" s="161">
        <f>'A.U. OBRA'!J44</f>
        <v>0</v>
      </c>
      <c r="L126" s="160"/>
      <c r="M126" s="135"/>
    </row>
    <row r="127" spans="1:19" s="162" customFormat="1" ht="48.75" customHeight="1">
      <c r="A127" s="135"/>
      <c r="B127" s="136"/>
      <c r="C127" s="496" t="s">
        <v>76</v>
      </c>
      <c r="D127" s="497"/>
      <c r="E127" s="497"/>
      <c r="F127" s="497"/>
      <c r="G127" s="497"/>
      <c r="H127" s="491" t="s">
        <v>77</v>
      </c>
      <c r="I127" s="493"/>
      <c r="J127" s="159" t="s">
        <v>78</v>
      </c>
      <c r="K127" s="161">
        <f>'A.U. OBRA'!J45</f>
        <v>0.06</v>
      </c>
      <c r="L127" s="138"/>
      <c r="M127" s="135"/>
      <c r="P127" s="432"/>
    </row>
    <row r="128" spans="1:19" ht="51" customHeight="1">
      <c r="A128" s="97"/>
      <c r="B128" s="104"/>
      <c r="C128" s="490" t="s">
        <v>79</v>
      </c>
      <c r="D128" s="490"/>
      <c r="E128" s="490"/>
      <c r="F128" s="490"/>
      <c r="G128" s="490"/>
      <c r="H128" s="493" t="s">
        <v>80</v>
      </c>
      <c r="I128" s="493"/>
      <c r="J128" s="159" t="s">
        <v>81</v>
      </c>
      <c r="K128" s="161">
        <f>'A.U. OBRA'!J46</f>
        <v>0.35589999999999999</v>
      </c>
      <c r="L128" s="105"/>
      <c r="M128" s="97"/>
    </row>
    <row r="129" spans="1:13" s="139" customFormat="1" ht="15.75">
      <c r="A129" s="135"/>
      <c r="B129" s="136"/>
      <c r="C129" s="142"/>
      <c r="D129" s="143"/>
      <c r="E129" s="143"/>
      <c r="F129" s="143"/>
      <c r="G129" s="142"/>
      <c r="H129" s="142"/>
      <c r="I129" s="156"/>
      <c r="J129" s="157"/>
      <c r="K129" s="158"/>
      <c r="L129" s="138"/>
      <c r="M129" s="135"/>
    </row>
    <row r="130" spans="1:13" ht="17.25" thickBot="1">
      <c r="A130" s="97"/>
      <c r="B130" s="163"/>
      <c r="C130" s="164"/>
      <c r="D130" s="164"/>
      <c r="E130" s="165"/>
      <c r="F130" s="164"/>
      <c r="G130" s="166"/>
      <c r="H130" s="164"/>
      <c r="I130" s="164"/>
      <c r="J130" s="164"/>
      <c r="K130" s="164"/>
      <c r="L130" s="167"/>
      <c r="M130" s="97"/>
    </row>
    <row r="131" spans="1:13" ht="17.25" thickTop="1">
      <c r="A131" s="97"/>
      <c r="B131" s="135"/>
      <c r="C131" s="97"/>
      <c r="D131" s="97"/>
      <c r="E131" s="98"/>
      <c r="F131" s="97"/>
      <c r="G131" s="456"/>
      <c r="H131" s="97"/>
      <c r="I131" s="97"/>
      <c r="J131" s="97"/>
      <c r="K131" s="97"/>
      <c r="L131" s="97"/>
      <c r="M131" s="97"/>
    </row>
    <row r="132" spans="1:13">
      <c r="A132" s="97"/>
      <c r="B132" s="97"/>
      <c r="C132" s="97"/>
      <c r="D132" s="97"/>
      <c r="E132" s="98"/>
      <c r="F132" s="97"/>
      <c r="G132" s="97"/>
      <c r="H132" s="97"/>
      <c r="I132" s="97"/>
      <c r="J132" s="97"/>
      <c r="K132" s="97"/>
      <c r="L132" s="97"/>
      <c r="M132" s="97"/>
    </row>
    <row r="137" spans="1:13" ht="18.75">
      <c r="D137" s="454" t="s">
        <v>442</v>
      </c>
    </row>
    <row r="138" spans="1:13" ht="18.75">
      <c r="D138" s="455" t="s">
        <v>443</v>
      </c>
    </row>
  </sheetData>
  <mergeCells count="30">
    <mergeCell ref="C128:G128"/>
    <mergeCell ref="H128:I128"/>
    <mergeCell ref="C125:G125"/>
    <mergeCell ref="H125:I125"/>
    <mergeCell ref="C126:G126"/>
    <mergeCell ref="H126:I126"/>
    <mergeCell ref="C127:G127"/>
    <mergeCell ref="H127:I127"/>
    <mergeCell ref="C116:J116"/>
    <mergeCell ref="G119:I119"/>
    <mergeCell ref="C124:G124"/>
    <mergeCell ref="H124:J124"/>
    <mergeCell ref="C17:K17"/>
    <mergeCell ref="C22:K22"/>
    <mergeCell ref="C123:K123"/>
    <mergeCell ref="C13:K13"/>
    <mergeCell ref="C10:K10"/>
    <mergeCell ref="K11:K12"/>
    <mergeCell ref="C11:C12"/>
    <mergeCell ref="C3:F3"/>
    <mergeCell ref="C5:K5"/>
    <mergeCell ref="C6:K6"/>
    <mergeCell ref="C7:K8"/>
    <mergeCell ref="C9:K9"/>
    <mergeCell ref="D11:D12"/>
    <mergeCell ref="E11:F11"/>
    <mergeCell ref="G11:G12"/>
    <mergeCell ref="H11:H12"/>
    <mergeCell ref="I11:I12"/>
    <mergeCell ref="J11:J12"/>
  </mergeCells>
  <phoneticPr fontId="48" type="noConversion"/>
  <pageMargins left="0.7" right="0.7" top="0.75" bottom="0.75" header="0.3" footer="0.3"/>
  <pageSetup scale="26" fitToHeight="0" orientation="portrait" r:id="rId1"/>
  <ignoredErrors>
    <ignoredError sqref="D21" numberStoredAsText="1"/>
    <ignoredError sqref="K121" evalError="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5114F1-38CD-41A7-897B-7CDC0574C707}">
  <dimension ref="A1:G857"/>
  <sheetViews>
    <sheetView topLeftCell="A321" workbookViewId="0">
      <selection activeCell="N18" sqref="N18"/>
    </sheetView>
  </sheetViews>
  <sheetFormatPr baseColWidth="10" defaultRowHeight="15"/>
  <cols>
    <col min="1" max="1" width="3.42578125" customWidth="1"/>
    <col min="2" max="2" width="11.42578125" style="396"/>
    <col min="3" max="3" width="80.7109375" customWidth="1"/>
    <col min="5" max="5" width="20.7109375" customWidth="1"/>
    <col min="7" max="7" width="11.85546875" bestFit="1" customWidth="1"/>
  </cols>
  <sheetData>
    <row r="1" spans="1:7" ht="18.75">
      <c r="B1" s="498" t="s">
        <v>414</v>
      </c>
      <c r="C1" s="499"/>
      <c r="D1" s="499"/>
      <c r="E1" s="499"/>
      <c r="F1" s="499"/>
      <c r="G1" s="499"/>
    </row>
    <row r="3" spans="1:7">
      <c r="A3" s="408">
        <v>1</v>
      </c>
      <c r="B3" s="409" t="s">
        <v>446</v>
      </c>
      <c r="C3" s="410" t="s">
        <v>447</v>
      </c>
      <c r="D3" s="411" t="s">
        <v>7</v>
      </c>
      <c r="E3" s="412"/>
      <c r="F3" s="394" t="s">
        <v>305</v>
      </c>
      <c r="G3" s="395">
        <v>12604</v>
      </c>
    </row>
    <row r="4" spans="1:7">
      <c r="A4" s="413"/>
      <c r="B4" s="414" t="s">
        <v>306</v>
      </c>
      <c r="C4" s="415" t="s">
        <v>9</v>
      </c>
      <c r="D4" s="415" t="s">
        <v>1</v>
      </c>
      <c r="E4" s="415" t="s">
        <v>307</v>
      </c>
      <c r="F4" s="415" t="s">
        <v>3</v>
      </c>
      <c r="G4" s="415" t="s">
        <v>308</v>
      </c>
    </row>
    <row r="5" spans="1:7">
      <c r="A5" s="413"/>
      <c r="B5" s="416" t="s">
        <v>309</v>
      </c>
      <c r="C5" s="417" t="s">
        <v>313</v>
      </c>
      <c r="D5" s="418"/>
      <c r="E5" s="418"/>
      <c r="F5" s="418"/>
      <c r="G5" s="419"/>
    </row>
    <row r="6" spans="1:7">
      <c r="A6" s="420"/>
      <c r="B6" s="425" t="s">
        <v>425</v>
      </c>
      <c r="C6" s="426" t="s">
        <v>426</v>
      </c>
      <c r="D6" s="427" t="s">
        <v>427</v>
      </c>
      <c r="E6" s="428">
        <v>4680</v>
      </c>
      <c r="F6" s="427">
        <v>0.2</v>
      </c>
      <c r="G6" s="428">
        <v>936</v>
      </c>
    </row>
    <row r="7" spans="1:7">
      <c r="A7" s="420"/>
      <c r="B7" s="425" t="s">
        <v>450</v>
      </c>
      <c r="C7" s="426" t="s">
        <v>451</v>
      </c>
      <c r="D7" s="427" t="s">
        <v>167</v>
      </c>
      <c r="E7" s="428">
        <v>4117</v>
      </c>
      <c r="F7" s="427">
        <v>1</v>
      </c>
      <c r="G7" s="428">
        <v>4117</v>
      </c>
    </row>
    <row r="8" spans="1:7">
      <c r="A8" s="420"/>
      <c r="B8" s="421" t="s">
        <v>452</v>
      </c>
      <c r="C8" s="422" t="s">
        <v>453</v>
      </c>
      <c r="D8" s="423" t="s">
        <v>6</v>
      </c>
      <c r="E8" s="424">
        <v>9128</v>
      </c>
      <c r="F8" s="423">
        <v>0.35</v>
      </c>
      <c r="G8" s="424">
        <v>3195</v>
      </c>
    </row>
    <row r="9" spans="1:7">
      <c r="A9" s="413"/>
      <c r="B9" s="416" t="s">
        <v>309</v>
      </c>
      <c r="C9" s="417" t="s">
        <v>310</v>
      </c>
      <c r="D9" s="418"/>
      <c r="E9" s="418"/>
      <c r="F9" s="418"/>
      <c r="G9" s="419"/>
    </row>
    <row r="10" spans="1:7">
      <c r="A10" s="420"/>
      <c r="B10" s="421" t="s">
        <v>10</v>
      </c>
      <c r="C10" s="422" t="s">
        <v>11</v>
      </c>
      <c r="D10" s="423" t="s">
        <v>6</v>
      </c>
      <c r="E10" s="424">
        <v>3311</v>
      </c>
      <c r="F10" s="423">
        <v>0.16</v>
      </c>
      <c r="G10" s="424">
        <v>530</v>
      </c>
    </row>
    <row r="11" spans="1:7">
      <c r="A11" s="413"/>
      <c r="B11" s="416" t="s">
        <v>309</v>
      </c>
      <c r="C11" s="417" t="s">
        <v>312</v>
      </c>
      <c r="D11" s="418"/>
      <c r="E11" s="418"/>
      <c r="F11" s="418"/>
      <c r="G11" s="419"/>
    </row>
    <row r="12" spans="1:7">
      <c r="A12" s="420"/>
      <c r="B12" s="425" t="s">
        <v>156</v>
      </c>
      <c r="C12" s="426" t="s">
        <v>157</v>
      </c>
      <c r="D12" s="427" t="s">
        <v>13</v>
      </c>
      <c r="E12" s="428">
        <v>23915</v>
      </c>
      <c r="F12" s="427">
        <v>0.16</v>
      </c>
      <c r="G12" s="428">
        <v>3826</v>
      </c>
    </row>
    <row r="14" spans="1:7" ht="26.25">
      <c r="A14" s="408">
        <v>2</v>
      </c>
      <c r="B14" s="409" t="s">
        <v>448</v>
      </c>
      <c r="C14" s="410" t="s">
        <v>449</v>
      </c>
      <c r="D14" s="411" t="s">
        <v>6</v>
      </c>
      <c r="E14" s="412"/>
      <c r="F14" s="394" t="s">
        <v>305</v>
      </c>
      <c r="G14" s="395">
        <v>213871</v>
      </c>
    </row>
    <row r="15" spans="1:7">
      <c r="A15" s="413"/>
      <c r="B15" s="414" t="s">
        <v>306</v>
      </c>
      <c r="C15" s="415" t="s">
        <v>9</v>
      </c>
      <c r="D15" s="415" t="s">
        <v>1</v>
      </c>
      <c r="E15" s="415" t="s">
        <v>307</v>
      </c>
      <c r="F15" s="415" t="s">
        <v>3</v>
      </c>
      <c r="G15" s="415" t="s">
        <v>308</v>
      </c>
    </row>
    <row r="16" spans="1:7">
      <c r="A16" s="413"/>
      <c r="B16" s="416" t="s">
        <v>309</v>
      </c>
      <c r="C16" s="417" t="s">
        <v>313</v>
      </c>
      <c r="D16" s="418"/>
      <c r="E16" s="418"/>
      <c r="F16" s="418"/>
      <c r="G16" s="419"/>
    </row>
    <row r="17" spans="1:7">
      <c r="A17" s="420"/>
      <c r="B17" s="425" t="s">
        <v>151</v>
      </c>
      <c r="C17" s="426" t="s">
        <v>152</v>
      </c>
      <c r="D17" s="427" t="s">
        <v>6</v>
      </c>
      <c r="E17" s="428">
        <v>1733</v>
      </c>
      <c r="F17" s="427">
        <v>0.158</v>
      </c>
      <c r="G17" s="428">
        <v>274</v>
      </c>
    </row>
    <row r="18" spans="1:7">
      <c r="A18" s="420"/>
      <c r="B18" s="421" t="s">
        <v>454</v>
      </c>
      <c r="C18" s="422" t="s">
        <v>455</v>
      </c>
      <c r="D18" s="423" t="s">
        <v>6</v>
      </c>
      <c r="E18" s="424">
        <v>187283</v>
      </c>
      <c r="F18" s="423">
        <v>0.6</v>
      </c>
      <c r="G18" s="424">
        <v>112370</v>
      </c>
    </row>
    <row r="19" spans="1:7">
      <c r="A19" s="413"/>
      <c r="B19" s="416" t="s">
        <v>309</v>
      </c>
      <c r="C19" s="417" t="s">
        <v>310</v>
      </c>
      <c r="D19" s="418"/>
      <c r="E19" s="418"/>
      <c r="F19" s="418"/>
      <c r="G19" s="419"/>
    </row>
    <row r="20" spans="1:7">
      <c r="A20" s="420"/>
      <c r="B20" s="421" t="s">
        <v>10</v>
      </c>
      <c r="C20" s="422" t="s">
        <v>11</v>
      </c>
      <c r="D20" s="423" t="s">
        <v>6</v>
      </c>
      <c r="E20" s="424">
        <v>3311</v>
      </c>
      <c r="F20" s="423">
        <v>2</v>
      </c>
      <c r="G20" s="424">
        <v>6622</v>
      </c>
    </row>
    <row r="21" spans="1:7">
      <c r="A21" s="413"/>
      <c r="B21" s="416" t="s">
        <v>309</v>
      </c>
      <c r="C21" s="417" t="s">
        <v>311</v>
      </c>
      <c r="D21" s="418"/>
      <c r="E21" s="418"/>
      <c r="F21" s="418"/>
      <c r="G21" s="419"/>
    </row>
    <row r="22" spans="1:7">
      <c r="A22" s="420"/>
      <c r="B22" s="425" t="s">
        <v>456</v>
      </c>
      <c r="C22" s="426" t="s">
        <v>457</v>
      </c>
      <c r="D22" s="427" t="s">
        <v>6</v>
      </c>
      <c r="E22" s="428">
        <v>5419</v>
      </c>
      <c r="F22" s="427">
        <v>0.5</v>
      </c>
      <c r="G22" s="428">
        <v>2710</v>
      </c>
    </row>
    <row r="23" spans="1:7">
      <c r="A23" s="420"/>
      <c r="B23" s="421" t="s">
        <v>164</v>
      </c>
      <c r="C23" s="422" t="s">
        <v>165</v>
      </c>
      <c r="D23" s="423" t="s">
        <v>12</v>
      </c>
      <c r="E23" s="424">
        <v>171308</v>
      </c>
      <c r="F23" s="423">
        <v>0.22800000000000001</v>
      </c>
      <c r="G23" s="424">
        <v>39058</v>
      </c>
    </row>
    <row r="24" spans="1:7">
      <c r="A24" s="413"/>
      <c r="B24" s="416" t="s">
        <v>309</v>
      </c>
      <c r="C24" s="417" t="s">
        <v>312</v>
      </c>
      <c r="D24" s="418"/>
      <c r="E24" s="418"/>
      <c r="F24" s="418"/>
      <c r="G24" s="419"/>
    </row>
    <row r="25" spans="1:7">
      <c r="A25" s="420"/>
      <c r="B25" s="421" t="s">
        <v>156</v>
      </c>
      <c r="C25" s="422" t="s">
        <v>157</v>
      </c>
      <c r="D25" s="423" t="s">
        <v>13</v>
      </c>
      <c r="E25" s="424">
        <v>23915</v>
      </c>
      <c r="F25" s="423">
        <v>2</v>
      </c>
      <c r="G25" s="424">
        <v>47830</v>
      </c>
    </row>
    <row r="26" spans="1:7">
      <c r="A26" s="413"/>
      <c r="B26" s="416" t="s">
        <v>309</v>
      </c>
      <c r="C26" s="417" t="s">
        <v>314</v>
      </c>
      <c r="D26" s="418"/>
      <c r="E26" s="418"/>
      <c r="F26" s="418"/>
      <c r="G26" s="419"/>
    </row>
    <row r="27" spans="1:7">
      <c r="A27" s="420"/>
      <c r="B27" s="425" t="s">
        <v>350</v>
      </c>
      <c r="C27" s="426" t="s">
        <v>351</v>
      </c>
      <c r="D27" s="427" t="s">
        <v>5</v>
      </c>
      <c r="E27" s="428">
        <v>500691</v>
      </c>
      <c r="F27" s="427">
        <v>0.01</v>
      </c>
      <c r="G27" s="428">
        <v>5007</v>
      </c>
    </row>
    <row r="29" spans="1:7">
      <c r="A29" s="408">
        <v>3</v>
      </c>
      <c r="B29" s="409" t="s">
        <v>173</v>
      </c>
      <c r="C29" s="410" t="s">
        <v>174</v>
      </c>
      <c r="D29" s="411" t="s">
        <v>5</v>
      </c>
      <c r="E29" s="412"/>
      <c r="F29" s="394" t="s">
        <v>305</v>
      </c>
      <c r="G29" s="395">
        <v>33654</v>
      </c>
    </row>
    <row r="30" spans="1:7">
      <c r="A30" s="413"/>
      <c r="B30" s="414" t="s">
        <v>306</v>
      </c>
      <c r="C30" s="415" t="s">
        <v>9</v>
      </c>
      <c r="D30" s="415" t="s">
        <v>1</v>
      </c>
      <c r="E30" s="415" t="s">
        <v>307</v>
      </c>
      <c r="F30" s="415" t="s">
        <v>3</v>
      </c>
      <c r="G30" s="415" t="s">
        <v>308</v>
      </c>
    </row>
    <row r="31" spans="1:7">
      <c r="A31" s="413"/>
      <c r="B31" s="416" t="s">
        <v>309</v>
      </c>
      <c r="C31" s="417" t="s">
        <v>310</v>
      </c>
      <c r="D31" s="418"/>
      <c r="E31" s="418"/>
      <c r="F31" s="418"/>
      <c r="G31" s="419"/>
    </row>
    <row r="32" spans="1:7">
      <c r="A32" s="420"/>
      <c r="B32" s="421" t="s">
        <v>10</v>
      </c>
      <c r="C32" s="422" t="s">
        <v>11</v>
      </c>
      <c r="D32" s="423" t="s">
        <v>6</v>
      </c>
      <c r="E32" s="424">
        <v>3311</v>
      </c>
      <c r="F32" s="423">
        <v>0.2</v>
      </c>
      <c r="G32" s="424">
        <v>662</v>
      </c>
    </row>
    <row r="33" spans="1:7">
      <c r="A33" s="413"/>
      <c r="B33" s="416" t="s">
        <v>309</v>
      </c>
      <c r="C33" s="417" t="s">
        <v>311</v>
      </c>
      <c r="D33" s="418"/>
      <c r="E33" s="418"/>
      <c r="F33" s="418"/>
      <c r="G33" s="419"/>
    </row>
    <row r="34" spans="1:7">
      <c r="A34" s="420"/>
      <c r="B34" s="421" t="s">
        <v>171</v>
      </c>
      <c r="C34" s="422" t="s">
        <v>175</v>
      </c>
      <c r="D34" s="423" t="s">
        <v>12</v>
      </c>
      <c r="E34" s="424">
        <v>63233</v>
      </c>
      <c r="F34" s="423">
        <v>3.3000000000000002E-2</v>
      </c>
      <c r="G34" s="424">
        <v>2087</v>
      </c>
    </row>
    <row r="35" spans="1:7">
      <c r="A35" s="413"/>
      <c r="B35" s="416" t="s">
        <v>309</v>
      </c>
      <c r="C35" s="417" t="s">
        <v>312</v>
      </c>
      <c r="D35" s="418"/>
      <c r="E35" s="418"/>
      <c r="F35" s="418"/>
      <c r="G35" s="419"/>
    </row>
    <row r="36" spans="1:7">
      <c r="A36" s="420"/>
      <c r="B36" s="425" t="s">
        <v>154</v>
      </c>
      <c r="C36" s="426" t="s">
        <v>155</v>
      </c>
      <c r="D36" s="427" t="s">
        <v>13</v>
      </c>
      <c r="E36" s="428">
        <v>51509</v>
      </c>
      <c r="F36" s="427">
        <v>0.6</v>
      </c>
      <c r="G36" s="428">
        <v>30905</v>
      </c>
    </row>
    <row r="38" spans="1:7" ht="26.25">
      <c r="A38" s="408">
        <v>4</v>
      </c>
      <c r="B38" s="409" t="s">
        <v>458</v>
      </c>
      <c r="C38" s="410" t="s">
        <v>459</v>
      </c>
      <c r="D38" s="411" t="s">
        <v>5</v>
      </c>
      <c r="E38" s="412"/>
      <c r="F38" s="394" t="s">
        <v>305</v>
      </c>
      <c r="G38" s="395">
        <v>29166</v>
      </c>
    </row>
    <row r="39" spans="1:7">
      <c r="A39" s="413"/>
      <c r="B39" s="414" t="s">
        <v>306</v>
      </c>
      <c r="C39" s="415" t="s">
        <v>9</v>
      </c>
      <c r="D39" s="415" t="s">
        <v>1</v>
      </c>
      <c r="E39" s="415" t="s">
        <v>307</v>
      </c>
      <c r="F39" s="415" t="s">
        <v>3</v>
      </c>
      <c r="G39" s="415" t="s">
        <v>308</v>
      </c>
    </row>
    <row r="40" spans="1:7">
      <c r="A40" s="413"/>
      <c r="B40" s="416" t="s">
        <v>309</v>
      </c>
      <c r="C40" s="417" t="s">
        <v>313</v>
      </c>
      <c r="D40" s="418"/>
      <c r="E40" s="418"/>
      <c r="F40" s="418"/>
      <c r="G40" s="419"/>
    </row>
    <row r="41" spans="1:7">
      <c r="A41" s="420"/>
      <c r="B41" s="421" t="s">
        <v>151</v>
      </c>
      <c r="C41" s="422" t="s">
        <v>152</v>
      </c>
      <c r="D41" s="423" t="s">
        <v>6</v>
      </c>
      <c r="E41" s="424">
        <v>1733</v>
      </c>
      <c r="F41" s="423">
        <v>0.5</v>
      </c>
      <c r="G41" s="424">
        <v>867</v>
      </c>
    </row>
    <row r="42" spans="1:7">
      <c r="A42" s="413"/>
      <c r="B42" s="416" t="s">
        <v>309</v>
      </c>
      <c r="C42" s="417" t="s">
        <v>310</v>
      </c>
      <c r="D42" s="418"/>
      <c r="E42" s="418"/>
      <c r="F42" s="418"/>
      <c r="G42" s="419"/>
    </row>
    <row r="43" spans="1:7">
      <c r="A43" s="420"/>
      <c r="B43" s="421" t="s">
        <v>10</v>
      </c>
      <c r="C43" s="422" t="s">
        <v>11</v>
      </c>
      <c r="D43" s="423" t="s">
        <v>6</v>
      </c>
      <c r="E43" s="424">
        <v>3311</v>
      </c>
      <c r="F43" s="423">
        <v>0.1</v>
      </c>
      <c r="G43" s="424">
        <v>331</v>
      </c>
    </row>
    <row r="44" spans="1:7">
      <c r="A44" s="413"/>
      <c r="B44" s="416" t="s">
        <v>309</v>
      </c>
      <c r="C44" s="417" t="s">
        <v>311</v>
      </c>
      <c r="D44" s="418"/>
      <c r="E44" s="418"/>
      <c r="F44" s="418"/>
      <c r="G44" s="419"/>
    </row>
    <row r="45" spans="1:7">
      <c r="A45" s="420"/>
      <c r="B45" s="421" t="s">
        <v>434</v>
      </c>
      <c r="C45" s="422" t="s">
        <v>460</v>
      </c>
      <c r="D45" s="423" t="s">
        <v>12</v>
      </c>
      <c r="E45" s="424">
        <v>61671</v>
      </c>
      <c r="F45" s="423">
        <v>0.12</v>
      </c>
      <c r="G45" s="424">
        <v>7401</v>
      </c>
    </row>
    <row r="46" spans="1:7">
      <c r="A46" s="413"/>
      <c r="B46" s="416" t="s">
        <v>309</v>
      </c>
      <c r="C46" s="417" t="s">
        <v>312</v>
      </c>
      <c r="D46" s="418"/>
      <c r="E46" s="418"/>
      <c r="F46" s="418"/>
      <c r="G46" s="419"/>
    </row>
    <row r="47" spans="1:7">
      <c r="A47" s="420"/>
      <c r="B47" s="425" t="s">
        <v>156</v>
      </c>
      <c r="C47" s="426" t="s">
        <v>157</v>
      </c>
      <c r="D47" s="427" t="s">
        <v>13</v>
      </c>
      <c r="E47" s="428">
        <v>23915</v>
      </c>
      <c r="F47" s="427">
        <v>0.86</v>
      </c>
      <c r="G47" s="428">
        <v>20567</v>
      </c>
    </row>
    <row r="49" spans="1:7">
      <c r="A49" s="408">
        <v>5</v>
      </c>
      <c r="B49" s="409" t="s">
        <v>461</v>
      </c>
      <c r="C49" s="410" t="s">
        <v>462</v>
      </c>
      <c r="D49" s="411" t="s">
        <v>5</v>
      </c>
      <c r="E49" s="412"/>
      <c r="F49" s="394" t="s">
        <v>305</v>
      </c>
      <c r="G49" s="395">
        <v>48444</v>
      </c>
    </row>
    <row r="50" spans="1:7">
      <c r="A50" s="413"/>
      <c r="B50" s="414" t="s">
        <v>306</v>
      </c>
      <c r="C50" s="415" t="s">
        <v>9</v>
      </c>
      <c r="D50" s="415" t="s">
        <v>1</v>
      </c>
      <c r="E50" s="415" t="s">
        <v>307</v>
      </c>
      <c r="F50" s="415" t="s">
        <v>3</v>
      </c>
      <c r="G50" s="415" t="s">
        <v>308</v>
      </c>
    </row>
    <row r="51" spans="1:7">
      <c r="A51" s="413"/>
      <c r="B51" s="416" t="s">
        <v>309</v>
      </c>
      <c r="C51" s="417" t="s">
        <v>310</v>
      </c>
      <c r="D51" s="418"/>
      <c r="E51" s="418"/>
      <c r="F51" s="418"/>
      <c r="G51" s="419"/>
    </row>
    <row r="52" spans="1:7">
      <c r="A52" s="420"/>
      <c r="B52" s="421" t="s">
        <v>10</v>
      </c>
      <c r="C52" s="422" t="s">
        <v>11</v>
      </c>
      <c r="D52" s="423" t="s">
        <v>6</v>
      </c>
      <c r="E52" s="424">
        <v>3311</v>
      </c>
      <c r="F52" s="423">
        <v>0.217</v>
      </c>
      <c r="G52" s="424">
        <v>718</v>
      </c>
    </row>
    <row r="53" spans="1:7">
      <c r="A53" s="413"/>
      <c r="B53" s="416" t="s">
        <v>309</v>
      </c>
      <c r="C53" s="417" t="s">
        <v>311</v>
      </c>
      <c r="D53" s="418"/>
      <c r="E53" s="418"/>
      <c r="F53" s="418"/>
      <c r="G53" s="419"/>
    </row>
    <row r="54" spans="1:7">
      <c r="A54" s="420"/>
      <c r="B54" s="421" t="s">
        <v>158</v>
      </c>
      <c r="C54" s="422" t="s">
        <v>159</v>
      </c>
      <c r="D54" s="423" t="s">
        <v>153</v>
      </c>
      <c r="E54" s="424">
        <v>154179</v>
      </c>
      <c r="F54" s="423">
        <v>0.25</v>
      </c>
      <c r="G54" s="424">
        <v>38545</v>
      </c>
    </row>
    <row r="55" spans="1:7">
      <c r="A55" s="413"/>
      <c r="B55" s="416" t="s">
        <v>309</v>
      </c>
      <c r="C55" s="417" t="s">
        <v>312</v>
      </c>
      <c r="D55" s="418"/>
      <c r="E55" s="418"/>
      <c r="F55" s="418"/>
      <c r="G55" s="419"/>
    </row>
    <row r="56" spans="1:7">
      <c r="A56" s="420"/>
      <c r="B56" s="425" t="s">
        <v>160</v>
      </c>
      <c r="C56" s="426" t="s">
        <v>161</v>
      </c>
      <c r="D56" s="427" t="s">
        <v>13</v>
      </c>
      <c r="E56" s="428">
        <v>42311</v>
      </c>
      <c r="F56" s="427">
        <v>0.217</v>
      </c>
      <c r="G56" s="428">
        <v>9181</v>
      </c>
    </row>
    <row r="58" spans="1:7" ht="39">
      <c r="A58" s="408">
        <v>6</v>
      </c>
      <c r="B58" s="409" t="s">
        <v>342</v>
      </c>
      <c r="C58" s="410" t="s">
        <v>343</v>
      </c>
      <c r="D58" s="411" t="s">
        <v>6</v>
      </c>
      <c r="E58" s="412"/>
      <c r="F58" s="394" t="s">
        <v>305</v>
      </c>
      <c r="G58" s="395">
        <v>1301462</v>
      </c>
    </row>
    <row r="59" spans="1:7">
      <c r="A59" s="413"/>
      <c r="B59" s="414" t="s">
        <v>306</v>
      </c>
      <c r="C59" s="415" t="s">
        <v>9</v>
      </c>
      <c r="D59" s="415" t="s">
        <v>1</v>
      </c>
      <c r="E59" s="415" t="s">
        <v>307</v>
      </c>
      <c r="F59" s="415" t="s">
        <v>3</v>
      </c>
      <c r="G59" s="415" t="s">
        <v>308</v>
      </c>
    </row>
    <row r="60" spans="1:7">
      <c r="A60" s="413"/>
      <c r="B60" s="416" t="s">
        <v>309</v>
      </c>
      <c r="C60" s="417" t="s">
        <v>313</v>
      </c>
      <c r="D60" s="418"/>
      <c r="E60" s="418"/>
      <c r="F60" s="418"/>
      <c r="G60" s="419"/>
    </row>
    <row r="61" spans="1:7">
      <c r="A61" s="420"/>
      <c r="B61" s="425" t="s">
        <v>151</v>
      </c>
      <c r="C61" s="426" t="s">
        <v>152</v>
      </c>
      <c r="D61" s="427" t="s">
        <v>6</v>
      </c>
      <c r="E61" s="428">
        <v>1733</v>
      </c>
      <c r="F61" s="427">
        <v>9</v>
      </c>
      <c r="G61" s="428">
        <v>15597</v>
      </c>
    </row>
    <row r="62" spans="1:7" ht="24.75">
      <c r="A62" s="420"/>
      <c r="B62" s="425" t="s">
        <v>344</v>
      </c>
      <c r="C62" s="426" t="s">
        <v>345</v>
      </c>
      <c r="D62" s="427" t="s">
        <v>6</v>
      </c>
      <c r="E62" s="428">
        <v>480530</v>
      </c>
      <c r="F62" s="427">
        <v>1</v>
      </c>
      <c r="G62" s="428">
        <v>480530</v>
      </c>
    </row>
    <row r="63" spans="1:7">
      <c r="A63" s="420"/>
      <c r="B63" s="425" t="s">
        <v>162</v>
      </c>
      <c r="C63" s="426" t="s">
        <v>163</v>
      </c>
      <c r="D63" s="427" t="s">
        <v>53</v>
      </c>
      <c r="E63" s="428">
        <v>13246</v>
      </c>
      <c r="F63" s="427">
        <v>2.56</v>
      </c>
      <c r="G63" s="428">
        <v>33910</v>
      </c>
    </row>
    <row r="64" spans="1:7">
      <c r="A64" s="420"/>
      <c r="B64" s="421" t="s">
        <v>346</v>
      </c>
      <c r="C64" s="422" t="s">
        <v>347</v>
      </c>
      <c r="D64" s="423" t="s">
        <v>6</v>
      </c>
      <c r="E64" s="424">
        <v>2373</v>
      </c>
      <c r="F64" s="423">
        <v>197</v>
      </c>
      <c r="G64" s="424">
        <v>467481</v>
      </c>
    </row>
    <row r="65" spans="1:7">
      <c r="A65" s="413"/>
      <c r="B65" s="416" t="s">
        <v>309</v>
      </c>
      <c r="C65" s="417" t="s">
        <v>310</v>
      </c>
      <c r="D65" s="418"/>
      <c r="E65" s="418"/>
      <c r="F65" s="418"/>
      <c r="G65" s="419"/>
    </row>
    <row r="66" spans="1:7">
      <c r="A66" s="420"/>
      <c r="B66" s="421" t="s">
        <v>10</v>
      </c>
      <c r="C66" s="422" t="s">
        <v>11</v>
      </c>
      <c r="D66" s="423" t="s">
        <v>6</v>
      </c>
      <c r="E66" s="424">
        <v>3311</v>
      </c>
      <c r="F66" s="423">
        <v>0.3</v>
      </c>
      <c r="G66" s="424">
        <v>993</v>
      </c>
    </row>
    <row r="67" spans="1:7">
      <c r="A67" s="413"/>
      <c r="B67" s="416" t="s">
        <v>309</v>
      </c>
      <c r="C67" s="417" t="s">
        <v>311</v>
      </c>
      <c r="D67" s="418"/>
      <c r="E67" s="418"/>
      <c r="F67" s="418"/>
      <c r="G67" s="419"/>
    </row>
    <row r="68" spans="1:7">
      <c r="A68" s="420"/>
      <c r="B68" s="421" t="s">
        <v>164</v>
      </c>
      <c r="C68" s="422" t="s">
        <v>165</v>
      </c>
      <c r="D68" s="423" t="s">
        <v>12</v>
      </c>
      <c r="E68" s="424">
        <v>171308</v>
      </c>
      <c r="F68" s="423">
        <v>8.5000000000000006E-2</v>
      </c>
      <c r="G68" s="424">
        <v>14561</v>
      </c>
    </row>
    <row r="69" spans="1:7">
      <c r="A69" s="413"/>
      <c r="B69" s="416" t="s">
        <v>309</v>
      </c>
      <c r="C69" s="417" t="s">
        <v>312</v>
      </c>
      <c r="D69" s="418"/>
      <c r="E69" s="418"/>
      <c r="F69" s="418"/>
      <c r="G69" s="419"/>
    </row>
    <row r="70" spans="1:7">
      <c r="A70" s="420"/>
      <c r="B70" s="421" t="s">
        <v>348</v>
      </c>
      <c r="C70" s="422" t="s">
        <v>349</v>
      </c>
      <c r="D70" s="423" t="s">
        <v>13</v>
      </c>
      <c r="E70" s="424">
        <v>56651</v>
      </c>
      <c r="F70" s="423">
        <v>3.35</v>
      </c>
      <c r="G70" s="424">
        <v>189781</v>
      </c>
    </row>
    <row r="71" spans="1:7">
      <c r="A71" s="413"/>
      <c r="B71" s="416" t="s">
        <v>309</v>
      </c>
      <c r="C71" s="417" t="s">
        <v>314</v>
      </c>
      <c r="D71" s="418"/>
      <c r="E71" s="418"/>
      <c r="F71" s="418"/>
      <c r="G71" s="419"/>
    </row>
    <row r="72" spans="1:7">
      <c r="A72" s="420"/>
      <c r="B72" s="425" t="s">
        <v>166</v>
      </c>
      <c r="C72" s="426" t="s">
        <v>177</v>
      </c>
      <c r="D72" s="427" t="s">
        <v>5</v>
      </c>
      <c r="E72" s="428">
        <v>512038</v>
      </c>
      <c r="F72" s="427">
        <v>0.13</v>
      </c>
      <c r="G72" s="428">
        <v>66565</v>
      </c>
    </row>
    <row r="73" spans="1:7">
      <c r="A73" s="420"/>
      <c r="B73" s="425" t="s">
        <v>350</v>
      </c>
      <c r="C73" s="426" t="s">
        <v>351</v>
      </c>
      <c r="D73" s="427" t="s">
        <v>5</v>
      </c>
      <c r="E73" s="428">
        <v>500691</v>
      </c>
      <c r="F73" s="427">
        <v>6.4000000000000001E-2</v>
      </c>
      <c r="G73" s="428">
        <v>32044</v>
      </c>
    </row>
    <row r="75" spans="1:7" ht="26.25">
      <c r="A75" s="408">
        <v>7</v>
      </c>
      <c r="B75" s="409" t="s">
        <v>352</v>
      </c>
      <c r="C75" s="410" t="s">
        <v>353</v>
      </c>
      <c r="D75" s="411" t="s">
        <v>7</v>
      </c>
      <c r="E75" s="412"/>
      <c r="F75" s="394" t="s">
        <v>305</v>
      </c>
      <c r="G75" s="395">
        <v>44571</v>
      </c>
    </row>
    <row r="76" spans="1:7">
      <c r="A76" s="413"/>
      <c r="B76" s="414" t="s">
        <v>306</v>
      </c>
      <c r="C76" s="415" t="s">
        <v>9</v>
      </c>
      <c r="D76" s="415" t="s">
        <v>1</v>
      </c>
      <c r="E76" s="415" t="s">
        <v>307</v>
      </c>
      <c r="F76" s="415" t="s">
        <v>3</v>
      </c>
      <c r="G76" s="415" t="s">
        <v>308</v>
      </c>
    </row>
    <row r="77" spans="1:7">
      <c r="A77" s="413"/>
      <c r="B77" s="416" t="s">
        <v>309</v>
      </c>
      <c r="C77" s="417" t="s">
        <v>313</v>
      </c>
      <c r="D77" s="418"/>
      <c r="E77" s="418"/>
      <c r="F77" s="418"/>
      <c r="G77" s="419"/>
    </row>
    <row r="78" spans="1:7">
      <c r="A78" s="420"/>
      <c r="B78" s="425" t="s">
        <v>151</v>
      </c>
      <c r="C78" s="426" t="s">
        <v>152</v>
      </c>
      <c r="D78" s="427" t="s">
        <v>6</v>
      </c>
      <c r="E78" s="428">
        <v>1733</v>
      </c>
      <c r="F78" s="427">
        <v>0.4</v>
      </c>
      <c r="G78" s="428">
        <v>693</v>
      </c>
    </row>
    <row r="79" spans="1:7">
      <c r="A79" s="420"/>
      <c r="B79" s="425" t="s">
        <v>297</v>
      </c>
      <c r="C79" s="426" t="s">
        <v>298</v>
      </c>
      <c r="D79" s="427" t="s">
        <v>6</v>
      </c>
      <c r="E79" s="428">
        <v>2708</v>
      </c>
      <c r="F79" s="427">
        <v>0.63</v>
      </c>
      <c r="G79" s="428">
        <v>1706</v>
      </c>
    </row>
    <row r="80" spans="1:7">
      <c r="A80" s="420"/>
      <c r="B80" s="425" t="s">
        <v>282</v>
      </c>
      <c r="C80" s="426" t="s">
        <v>283</v>
      </c>
      <c r="D80" s="427" t="s">
        <v>6</v>
      </c>
      <c r="E80" s="428">
        <v>16213</v>
      </c>
      <c r="F80" s="427">
        <v>0.1</v>
      </c>
      <c r="G80" s="428">
        <v>1621</v>
      </c>
    </row>
    <row r="81" spans="1:7">
      <c r="A81" s="420"/>
      <c r="B81" s="425" t="s">
        <v>193</v>
      </c>
      <c r="C81" s="426" t="s">
        <v>196</v>
      </c>
      <c r="D81" s="427" t="s">
        <v>6</v>
      </c>
      <c r="E81" s="428">
        <v>59308</v>
      </c>
      <c r="F81" s="427">
        <v>0.02</v>
      </c>
      <c r="G81" s="428">
        <v>1186</v>
      </c>
    </row>
    <row r="82" spans="1:7">
      <c r="A82" s="420"/>
      <c r="B82" s="425" t="s">
        <v>194</v>
      </c>
      <c r="C82" s="426" t="s">
        <v>197</v>
      </c>
      <c r="D82" s="427" t="s">
        <v>6</v>
      </c>
      <c r="E82" s="428">
        <v>122942</v>
      </c>
      <c r="F82" s="427">
        <v>0.02</v>
      </c>
      <c r="G82" s="428">
        <v>2459</v>
      </c>
    </row>
    <row r="83" spans="1:7">
      <c r="A83" s="420"/>
      <c r="B83" s="425" t="s">
        <v>354</v>
      </c>
      <c r="C83" s="426" t="s">
        <v>355</v>
      </c>
      <c r="D83" s="427" t="s">
        <v>167</v>
      </c>
      <c r="E83" s="428">
        <v>22769</v>
      </c>
      <c r="F83" s="427">
        <v>1.03</v>
      </c>
      <c r="G83" s="428">
        <v>23452</v>
      </c>
    </row>
    <row r="84" spans="1:7">
      <c r="A84" s="420"/>
      <c r="B84" s="421" t="s">
        <v>299</v>
      </c>
      <c r="C84" s="422" t="s">
        <v>300</v>
      </c>
      <c r="D84" s="423" t="s">
        <v>6</v>
      </c>
      <c r="E84" s="424">
        <v>9447</v>
      </c>
      <c r="F84" s="423">
        <v>0.16</v>
      </c>
      <c r="G84" s="424">
        <v>1512</v>
      </c>
    </row>
    <row r="85" spans="1:7">
      <c r="A85" s="413"/>
      <c r="B85" s="416" t="s">
        <v>309</v>
      </c>
      <c r="C85" s="417" t="s">
        <v>310</v>
      </c>
      <c r="D85" s="418"/>
      <c r="E85" s="418"/>
      <c r="F85" s="418"/>
      <c r="G85" s="419"/>
    </row>
    <row r="86" spans="1:7">
      <c r="A86" s="420"/>
      <c r="B86" s="421" t="s">
        <v>10</v>
      </c>
      <c r="C86" s="422" t="s">
        <v>11</v>
      </c>
      <c r="D86" s="423" t="s">
        <v>6</v>
      </c>
      <c r="E86" s="424">
        <v>3311</v>
      </c>
      <c r="F86" s="423">
        <v>0.1</v>
      </c>
      <c r="G86" s="424">
        <v>331</v>
      </c>
    </row>
    <row r="87" spans="1:7">
      <c r="A87" s="413"/>
      <c r="B87" s="416" t="s">
        <v>309</v>
      </c>
      <c r="C87" s="417" t="s">
        <v>311</v>
      </c>
      <c r="D87" s="418"/>
      <c r="E87" s="418"/>
      <c r="F87" s="418"/>
      <c r="G87" s="419"/>
    </row>
    <row r="88" spans="1:7">
      <c r="A88" s="420"/>
      <c r="B88" s="421" t="s">
        <v>164</v>
      </c>
      <c r="C88" s="422" t="s">
        <v>165</v>
      </c>
      <c r="D88" s="423" t="s">
        <v>12</v>
      </c>
      <c r="E88" s="424">
        <v>171308</v>
      </c>
      <c r="F88" s="423">
        <v>4.0000000000000001E-3</v>
      </c>
      <c r="G88" s="424">
        <v>685</v>
      </c>
    </row>
    <row r="89" spans="1:7">
      <c r="A89" s="413"/>
      <c r="B89" s="416" t="s">
        <v>309</v>
      </c>
      <c r="C89" s="417" t="s">
        <v>312</v>
      </c>
      <c r="D89" s="418"/>
      <c r="E89" s="418"/>
      <c r="F89" s="418"/>
      <c r="G89" s="419"/>
    </row>
    <row r="90" spans="1:7">
      <c r="A90" s="420"/>
      <c r="B90" s="425" t="s">
        <v>279</v>
      </c>
      <c r="C90" s="426" t="s">
        <v>280</v>
      </c>
      <c r="D90" s="427" t="s">
        <v>13</v>
      </c>
      <c r="E90" s="428">
        <v>36419</v>
      </c>
      <c r="F90" s="427">
        <v>0.3</v>
      </c>
      <c r="G90" s="428">
        <v>10926</v>
      </c>
    </row>
    <row r="92" spans="1:7" ht="26.25">
      <c r="A92" s="408">
        <v>8</v>
      </c>
      <c r="B92" s="409" t="s">
        <v>463</v>
      </c>
      <c r="C92" s="410" t="s">
        <v>464</v>
      </c>
      <c r="D92" s="411" t="s">
        <v>6</v>
      </c>
      <c r="E92" s="412"/>
      <c r="F92" s="394" t="s">
        <v>305</v>
      </c>
      <c r="G92" s="395">
        <v>128641</v>
      </c>
    </row>
    <row r="93" spans="1:7">
      <c r="A93" s="413"/>
      <c r="B93" s="414" t="s">
        <v>306</v>
      </c>
      <c r="C93" s="415" t="s">
        <v>9</v>
      </c>
      <c r="D93" s="415" t="s">
        <v>1</v>
      </c>
      <c r="E93" s="415" t="s">
        <v>307</v>
      </c>
      <c r="F93" s="415" t="s">
        <v>3</v>
      </c>
      <c r="G93" s="415" t="s">
        <v>308</v>
      </c>
    </row>
    <row r="94" spans="1:7">
      <c r="A94" s="413"/>
      <c r="B94" s="416" t="s">
        <v>309</v>
      </c>
      <c r="C94" s="417" t="s">
        <v>313</v>
      </c>
      <c r="D94" s="418"/>
      <c r="E94" s="418"/>
      <c r="F94" s="418"/>
      <c r="G94" s="419"/>
    </row>
    <row r="95" spans="1:7">
      <c r="A95" s="420"/>
      <c r="B95" s="425" t="s">
        <v>151</v>
      </c>
      <c r="C95" s="426" t="s">
        <v>152</v>
      </c>
      <c r="D95" s="427" t="s">
        <v>6</v>
      </c>
      <c r="E95" s="428">
        <v>1733</v>
      </c>
      <c r="F95" s="427">
        <v>2.4</v>
      </c>
      <c r="G95" s="428">
        <v>4159</v>
      </c>
    </row>
    <row r="96" spans="1:7">
      <c r="A96" s="420"/>
      <c r="B96" s="425" t="s">
        <v>465</v>
      </c>
      <c r="C96" s="426" t="s">
        <v>466</v>
      </c>
      <c r="D96" s="427" t="s">
        <v>6</v>
      </c>
      <c r="E96" s="428">
        <v>9411</v>
      </c>
      <c r="F96" s="427">
        <v>1</v>
      </c>
      <c r="G96" s="428">
        <v>9411</v>
      </c>
    </row>
    <row r="97" spans="1:7">
      <c r="A97" s="420"/>
      <c r="B97" s="425" t="s">
        <v>193</v>
      </c>
      <c r="C97" s="426" t="s">
        <v>196</v>
      </c>
      <c r="D97" s="427" t="s">
        <v>6</v>
      </c>
      <c r="E97" s="428">
        <v>59308</v>
      </c>
      <c r="F97" s="427">
        <v>0.05</v>
      </c>
      <c r="G97" s="428">
        <v>2965</v>
      </c>
    </row>
    <row r="98" spans="1:7">
      <c r="A98" s="420"/>
      <c r="B98" s="425" t="s">
        <v>194</v>
      </c>
      <c r="C98" s="426" t="s">
        <v>197</v>
      </c>
      <c r="D98" s="427" t="s">
        <v>6</v>
      </c>
      <c r="E98" s="428">
        <v>122942</v>
      </c>
      <c r="F98" s="427">
        <v>0.05</v>
      </c>
      <c r="G98" s="428">
        <v>6147</v>
      </c>
    </row>
    <row r="99" spans="1:7">
      <c r="A99" s="420"/>
      <c r="B99" s="425" t="s">
        <v>467</v>
      </c>
      <c r="C99" s="426" t="s">
        <v>468</v>
      </c>
      <c r="D99" s="427" t="s">
        <v>167</v>
      </c>
      <c r="E99" s="428">
        <v>22982</v>
      </c>
      <c r="F99" s="427">
        <v>1.55</v>
      </c>
      <c r="G99" s="428">
        <v>35622</v>
      </c>
    </row>
    <row r="100" spans="1:7">
      <c r="A100" s="420"/>
      <c r="B100" s="421" t="s">
        <v>469</v>
      </c>
      <c r="C100" s="422" t="s">
        <v>470</v>
      </c>
      <c r="D100" s="423" t="s">
        <v>6</v>
      </c>
      <c r="E100" s="424">
        <v>19139</v>
      </c>
      <c r="F100" s="423">
        <v>1</v>
      </c>
      <c r="G100" s="424">
        <v>19139</v>
      </c>
    </row>
    <row r="101" spans="1:7">
      <c r="A101" s="413"/>
      <c r="B101" s="416" t="s">
        <v>309</v>
      </c>
      <c r="C101" s="417" t="s">
        <v>310</v>
      </c>
      <c r="D101" s="418"/>
      <c r="E101" s="418"/>
      <c r="F101" s="418"/>
      <c r="G101" s="419"/>
    </row>
    <row r="102" spans="1:7">
      <c r="A102" s="420"/>
      <c r="B102" s="421" t="s">
        <v>10</v>
      </c>
      <c r="C102" s="422" t="s">
        <v>11</v>
      </c>
      <c r="D102" s="423" t="s">
        <v>6</v>
      </c>
      <c r="E102" s="424">
        <v>3311</v>
      </c>
      <c r="F102" s="423">
        <v>0.2</v>
      </c>
      <c r="G102" s="424">
        <v>662</v>
      </c>
    </row>
    <row r="103" spans="1:7">
      <c r="A103" s="413"/>
      <c r="B103" s="416" t="s">
        <v>309</v>
      </c>
      <c r="C103" s="417" t="s">
        <v>311</v>
      </c>
      <c r="D103" s="418"/>
      <c r="E103" s="418"/>
      <c r="F103" s="418"/>
      <c r="G103" s="419"/>
    </row>
    <row r="104" spans="1:7">
      <c r="A104" s="420"/>
      <c r="B104" s="421" t="s">
        <v>164</v>
      </c>
      <c r="C104" s="422" t="s">
        <v>165</v>
      </c>
      <c r="D104" s="423" t="s">
        <v>12</v>
      </c>
      <c r="E104" s="424">
        <v>171308</v>
      </c>
      <c r="F104" s="423">
        <v>8.0000000000000002E-3</v>
      </c>
      <c r="G104" s="424">
        <v>1370</v>
      </c>
    </row>
    <row r="105" spans="1:7">
      <c r="A105" s="413"/>
      <c r="B105" s="416" t="s">
        <v>309</v>
      </c>
      <c r="C105" s="417" t="s">
        <v>312</v>
      </c>
      <c r="D105" s="418"/>
      <c r="E105" s="418"/>
      <c r="F105" s="418"/>
      <c r="G105" s="419"/>
    </row>
    <row r="106" spans="1:7">
      <c r="A106" s="420"/>
      <c r="B106" s="425" t="s">
        <v>279</v>
      </c>
      <c r="C106" s="426" t="s">
        <v>280</v>
      </c>
      <c r="D106" s="427" t="s">
        <v>13</v>
      </c>
      <c r="E106" s="428">
        <v>36419</v>
      </c>
      <c r="F106" s="427">
        <v>1.35</v>
      </c>
      <c r="G106" s="428">
        <v>49166</v>
      </c>
    </row>
    <row r="108" spans="1:7" ht="26.25">
      <c r="A108" s="408">
        <v>9</v>
      </c>
      <c r="B108" s="409" t="s">
        <v>281</v>
      </c>
      <c r="C108" s="410" t="s">
        <v>290</v>
      </c>
      <c r="D108" s="411" t="s">
        <v>6</v>
      </c>
      <c r="E108" s="412"/>
      <c r="F108" s="394" t="s">
        <v>305</v>
      </c>
      <c r="G108" s="395">
        <v>169662</v>
      </c>
    </row>
    <row r="109" spans="1:7">
      <c r="A109" s="413"/>
      <c r="B109" s="414" t="s">
        <v>306</v>
      </c>
      <c r="C109" s="415" t="s">
        <v>9</v>
      </c>
      <c r="D109" s="415" t="s">
        <v>1</v>
      </c>
      <c r="E109" s="415" t="s">
        <v>307</v>
      </c>
      <c r="F109" s="415" t="s">
        <v>3</v>
      </c>
      <c r="G109" s="415" t="s">
        <v>308</v>
      </c>
    </row>
    <row r="110" spans="1:7">
      <c r="A110" s="413"/>
      <c r="B110" s="416" t="s">
        <v>309</v>
      </c>
      <c r="C110" s="417" t="s">
        <v>313</v>
      </c>
      <c r="D110" s="418"/>
      <c r="E110" s="418"/>
      <c r="F110" s="418"/>
      <c r="G110" s="419"/>
    </row>
    <row r="111" spans="1:7">
      <c r="A111" s="420"/>
      <c r="B111" s="425" t="s">
        <v>151</v>
      </c>
      <c r="C111" s="426" t="s">
        <v>152</v>
      </c>
      <c r="D111" s="427" t="s">
        <v>6</v>
      </c>
      <c r="E111" s="428">
        <v>1733</v>
      </c>
      <c r="F111" s="427">
        <v>2.4</v>
      </c>
      <c r="G111" s="428">
        <v>4159</v>
      </c>
    </row>
    <row r="112" spans="1:7">
      <c r="A112" s="420"/>
      <c r="B112" s="425" t="s">
        <v>282</v>
      </c>
      <c r="C112" s="426" t="s">
        <v>283</v>
      </c>
      <c r="D112" s="427" t="s">
        <v>6</v>
      </c>
      <c r="E112" s="428">
        <v>16213</v>
      </c>
      <c r="F112" s="427">
        <v>1</v>
      </c>
      <c r="G112" s="428">
        <v>16213</v>
      </c>
    </row>
    <row r="113" spans="1:7">
      <c r="A113" s="420"/>
      <c r="B113" s="425" t="s">
        <v>193</v>
      </c>
      <c r="C113" s="426" t="s">
        <v>196</v>
      </c>
      <c r="D113" s="427" t="s">
        <v>6</v>
      </c>
      <c r="E113" s="428">
        <v>59308</v>
      </c>
      <c r="F113" s="427">
        <v>0.08</v>
      </c>
      <c r="G113" s="428">
        <v>4745</v>
      </c>
    </row>
    <row r="114" spans="1:7">
      <c r="A114" s="420"/>
      <c r="B114" s="425" t="s">
        <v>194</v>
      </c>
      <c r="C114" s="426" t="s">
        <v>197</v>
      </c>
      <c r="D114" s="427" t="s">
        <v>6</v>
      </c>
      <c r="E114" s="428">
        <v>122942</v>
      </c>
      <c r="F114" s="427">
        <v>0.08</v>
      </c>
      <c r="G114" s="428">
        <v>9835</v>
      </c>
    </row>
    <row r="115" spans="1:7">
      <c r="A115" s="420"/>
      <c r="B115" s="425" t="s">
        <v>284</v>
      </c>
      <c r="C115" s="426" t="s">
        <v>285</v>
      </c>
      <c r="D115" s="427" t="s">
        <v>167</v>
      </c>
      <c r="E115" s="428">
        <v>32034</v>
      </c>
      <c r="F115" s="427">
        <v>1.55</v>
      </c>
      <c r="G115" s="428">
        <v>49653</v>
      </c>
    </row>
    <row r="116" spans="1:7">
      <c r="A116" s="420"/>
      <c r="B116" s="421" t="s">
        <v>286</v>
      </c>
      <c r="C116" s="422" t="s">
        <v>287</v>
      </c>
      <c r="D116" s="423" t="s">
        <v>6</v>
      </c>
      <c r="E116" s="424">
        <v>33002</v>
      </c>
      <c r="F116" s="423">
        <v>1</v>
      </c>
      <c r="G116" s="424">
        <v>33002</v>
      </c>
    </row>
    <row r="117" spans="1:7">
      <c r="A117" s="413"/>
      <c r="B117" s="416" t="s">
        <v>309</v>
      </c>
      <c r="C117" s="417" t="s">
        <v>310</v>
      </c>
      <c r="D117" s="418"/>
      <c r="E117" s="418"/>
      <c r="F117" s="418"/>
      <c r="G117" s="419"/>
    </row>
    <row r="118" spans="1:7">
      <c r="A118" s="420"/>
      <c r="B118" s="421" t="s">
        <v>10</v>
      </c>
      <c r="C118" s="422" t="s">
        <v>11</v>
      </c>
      <c r="D118" s="423" t="s">
        <v>6</v>
      </c>
      <c r="E118" s="424">
        <v>3311</v>
      </c>
      <c r="F118" s="423">
        <v>0.2</v>
      </c>
      <c r="G118" s="424">
        <v>662</v>
      </c>
    </row>
    <row r="119" spans="1:7">
      <c r="A119" s="413"/>
      <c r="B119" s="416" t="s">
        <v>309</v>
      </c>
      <c r="C119" s="417" t="s">
        <v>311</v>
      </c>
      <c r="D119" s="418"/>
      <c r="E119" s="418"/>
      <c r="F119" s="418"/>
      <c r="G119" s="419"/>
    </row>
    <row r="120" spans="1:7">
      <c r="A120" s="420"/>
      <c r="B120" s="421" t="s">
        <v>164</v>
      </c>
      <c r="C120" s="422" t="s">
        <v>165</v>
      </c>
      <c r="D120" s="423" t="s">
        <v>12</v>
      </c>
      <c r="E120" s="424">
        <v>171308</v>
      </c>
      <c r="F120" s="423">
        <v>1.2999999999999999E-2</v>
      </c>
      <c r="G120" s="424">
        <v>2227</v>
      </c>
    </row>
    <row r="121" spans="1:7">
      <c r="A121" s="413"/>
      <c r="B121" s="416" t="s">
        <v>309</v>
      </c>
      <c r="C121" s="417" t="s">
        <v>312</v>
      </c>
      <c r="D121" s="418"/>
      <c r="E121" s="418"/>
      <c r="F121" s="418"/>
      <c r="G121" s="419"/>
    </row>
    <row r="122" spans="1:7">
      <c r="A122" s="420"/>
      <c r="B122" s="425" t="s">
        <v>279</v>
      </c>
      <c r="C122" s="426" t="s">
        <v>280</v>
      </c>
      <c r="D122" s="427" t="s">
        <v>13</v>
      </c>
      <c r="E122" s="428">
        <v>36419</v>
      </c>
      <c r="F122" s="427">
        <v>1.35</v>
      </c>
      <c r="G122" s="428">
        <v>49166</v>
      </c>
    </row>
    <row r="124" spans="1:7" ht="26.25">
      <c r="A124" s="408">
        <v>10</v>
      </c>
      <c r="B124" s="409" t="s">
        <v>288</v>
      </c>
      <c r="C124" s="410" t="s">
        <v>289</v>
      </c>
      <c r="D124" s="411" t="s">
        <v>6</v>
      </c>
      <c r="E124" s="412"/>
      <c r="F124" s="394" t="s">
        <v>305</v>
      </c>
      <c r="G124" s="395">
        <v>98563</v>
      </c>
    </row>
    <row r="125" spans="1:7">
      <c r="A125" s="413"/>
      <c r="B125" s="414" t="s">
        <v>306</v>
      </c>
      <c r="C125" s="415" t="s">
        <v>9</v>
      </c>
      <c r="D125" s="415" t="s">
        <v>1</v>
      </c>
      <c r="E125" s="415" t="s">
        <v>307</v>
      </c>
      <c r="F125" s="415" t="s">
        <v>3</v>
      </c>
      <c r="G125" s="415" t="s">
        <v>308</v>
      </c>
    </row>
    <row r="126" spans="1:7">
      <c r="A126" s="413"/>
      <c r="B126" s="416" t="s">
        <v>309</v>
      </c>
      <c r="C126" s="417" t="s">
        <v>313</v>
      </c>
      <c r="D126" s="418"/>
      <c r="E126" s="418"/>
      <c r="F126" s="418"/>
      <c r="G126" s="419"/>
    </row>
    <row r="127" spans="1:7">
      <c r="A127" s="420"/>
      <c r="B127" s="425" t="s">
        <v>151</v>
      </c>
      <c r="C127" s="426" t="s">
        <v>152</v>
      </c>
      <c r="D127" s="427" t="s">
        <v>6</v>
      </c>
      <c r="E127" s="428">
        <v>1733</v>
      </c>
      <c r="F127" s="427">
        <v>2.2999999999999998</v>
      </c>
      <c r="G127" s="428">
        <v>3986</v>
      </c>
    </row>
    <row r="128" spans="1:7">
      <c r="A128" s="420"/>
      <c r="B128" s="425" t="s">
        <v>291</v>
      </c>
      <c r="C128" s="426" t="s">
        <v>292</v>
      </c>
      <c r="D128" s="427" t="s">
        <v>6</v>
      </c>
      <c r="E128" s="428">
        <v>5008</v>
      </c>
      <c r="F128" s="427">
        <v>1</v>
      </c>
      <c r="G128" s="428">
        <v>5008</v>
      </c>
    </row>
    <row r="129" spans="1:7">
      <c r="A129" s="420"/>
      <c r="B129" s="425" t="s">
        <v>193</v>
      </c>
      <c r="C129" s="426" t="s">
        <v>196</v>
      </c>
      <c r="D129" s="427" t="s">
        <v>6</v>
      </c>
      <c r="E129" s="428">
        <v>59308</v>
      </c>
      <c r="F129" s="427">
        <v>0.05</v>
      </c>
      <c r="G129" s="428">
        <v>2965</v>
      </c>
    </row>
    <row r="130" spans="1:7">
      <c r="A130" s="420"/>
      <c r="B130" s="425" t="s">
        <v>194</v>
      </c>
      <c r="C130" s="426" t="s">
        <v>197</v>
      </c>
      <c r="D130" s="427" t="s">
        <v>6</v>
      </c>
      <c r="E130" s="428">
        <v>122942</v>
      </c>
      <c r="F130" s="427">
        <v>0.05</v>
      </c>
      <c r="G130" s="428">
        <v>6147</v>
      </c>
    </row>
    <row r="131" spans="1:7">
      <c r="A131" s="420"/>
      <c r="B131" s="425" t="s">
        <v>293</v>
      </c>
      <c r="C131" s="426" t="s">
        <v>294</v>
      </c>
      <c r="D131" s="427" t="s">
        <v>167</v>
      </c>
      <c r="E131" s="428">
        <v>11082</v>
      </c>
      <c r="F131" s="427">
        <v>1.55</v>
      </c>
      <c r="G131" s="428">
        <v>17177</v>
      </c>
    </row>
    <row r="132" spans="1:7">
      <c r="A132" s="420"/>
      <c r="B132" s="425" t="s">
        <v>295</v>
      </c>
      <c r="C132" s="426" t="s">
        <v>296</v>
      </c>
      <c r="D132" s="427" t="s">
        <v>6</v>
      </c>
      <c r="E132" s="428">
        <v>3275</v>
      </c>
      <c r="F132" s="427">
        <v>1</v>
      </c>
      <c r="G132" s="428">
        <v>3275</v>
      </c>
    </row>
    <row r="133" spans="1:7">
      <c r="A133" s="420"/>
      <c r="B133" s="421" t="s">
        <v>195</v>
      </c>
      <c r="C133" s="422" t="s">
        <v>198</v>
      </c>
      <c r="D133" s="423" t="s">
        <v>6</v>
      </c>
      <c r="E133" s="424">
        <v>9320</v>
      </c>
      <c r="F133" s="423">
        <v>1</v>
      </c>
      <c r="G133" s="424">
        <v>9320</v>
      </c>
    </row>
    <row r="134" spans="1:7">
      <c r="A134" s="413"/>
      <c r="B134" s="416" t="s">
        <v>309</v>
      </c>
      <c r="C134" s="417" t="s">
        <v>310</v>
      </c>
      <c r="D134" s="418"/>
      <c r="E134" s="418"/>
      <c r="F134" s="418"/>
      <c r="G134" s="419"/>
    </row>
    <row r="135" spans="1:7">
      <c r="A135" s="420"/>
      <c r="B135" s="421" t="s">
        <v>10</v>
      </c>
      <c r="C135" s="422" t="s">
        <v>11</v>
      </c>
      <c r="D135" s="423" t="s">
        <v>6</v>
      </c>
      <c r="E135" s="424">
        <v>3311</v>
      </c>
      <c r="F135" s="423">
        <v>0.2</v>
      </c>
      <c r="G135" s="424">
        <v>662</v>
      </c>
    </row>
    <row r="136" spans="1:7">
      <c r="A136" s="413"/>
      <c r="B136" s="416" t="s">
        <v>309</v>
      </c>
      <c r="C136" s="417" t="s">
        <v>311</v>
      </c>
      <c r="D136" s="418"/>
      <c r="E136" s="418"/>
      <c r="F136" s="418"/>
      <c r="G136" s="419"/>
    </row>
    <row r="137" spans="1:7">
      <c r="A137" s="420"/>
      <c r="B137" s="421" t="s">
        <v>164</v>
      </c>
      <c r="C137" s="422" t="s">
        <v>165</v>
      </c>
      <c r="D137" s="423" t="s">
        <v>12</v>
      </c>
      <c r="E137" s="424">
        <v>171308</v>
      </c>
      <c r="F137" s="423">
        <v>5.0000000000000001E-3</v>
      </c>
      <c r="G137" s="424">
        <v>857</v>
      </c>
    </row>
    <row r="138" spans="1:7">
      <c r="A138" s="413"/>
      <c r="B138" s="416" t="s">
        <v>309</v>
      </c>
      <c r="C138" s="417" t="s">
        <v>312</v>
      </c>
      <c r="D138" s="418"/>
      <c r="E138" s="418"/>
      <c r="F138" s="418"/>
      <c r="G138" s="419"/>
    </row>
    <row r="139" spans="1:7">
      <c r="A139" s="420"/>
      <c r="B139" s="425" t="s">
        <v>279</v>
      </c>
      <c r="C139" s="426" t="s">
        <v>280</v>
      </c>
      <c r="D139" s="427" t="s">
        <v>13</v>
      </c>
      <c r="E139" s="428">
        <v>36419</v>
      </c>
      <c r="F139" s="427">
        <v>1.35</v>
      </c>
      <c r="G139" s="428">
        <v>49166</v>
      </c>
    </row>
    <row r="141" spans="1:7" ht="26.25">
      <c r="A141" s="408">
        <v>11</v>
      </c>
      <c r="B141" s="409" t="s">
        <v>471</v>
      </c>
      <c r="C141" s="410" t="s">
        <v>472</v>
      </c>
      <c r="D141" s="411" t="s">
        <v>7</v>
      </c>
      <c r="E141" s="412"/>
      <c r="F141" s="394" t="s">
        <v>305</v>
      </c>
      <c r="G141" s="395">
        <v>45081</v>
      </c>
    </row>
    <row r="142" spans="1:7">
      <c r="A142" s="413"/>
      <c r="B142" s="414" t="s">
        <v>306</v>
      </c>
      <c r="C142" s="415" t="s">
        <v>9</v>
      </c>
      <c r="D142" s="415" t="s">
        <v>1</v>
      </c>
      <c r="E142" s="415" t="s">
        <v>307</v>
      </c>
      <c r="F142" s="415" t="s">
        <v>3</v>
      </c>
      <c r="G142" s="415" t="s">
        <v>308</v>
      </c>
    </row>
    <row r="143" spans="1:7">
      <c r="A143" s="413"/>
      <c r="B143" s="416" t="s">
        <v>309</v>
      </c>
      <c r="C143" s="417" t="s">
        <v>313</v>
      </c>
      <c r="D143" s="418"/>
      <c r="E143" s="418"/>
      <c r="F143" s="418"/>
      <c r="G143" s="419"/>
    </row>
    <row r="144" spans="1:7">
      <c r="A144" s="420"/>
      <c r="B144" s="425" t="s">
        <v>151</v>
      </c>
      <c r="C144" s="426" t="s">
        <v>152</v>
      </c>
      <c r="D144" s="427" t="s">
        <v>6</v>
      </c>
      <c r="E144" s="428">
        <v>1733</v>
      </c>
      <c r="F144" s="427">
        <v>0.2</v>
      </c>
      <c r="G144" s="428">
        <v>347</v>
      </c>
    </row>
    <row r="145" spans="1:7">
      <c r="A145" s="420"/>
      <c r="B145" s="425" t="s">
        <v>193</v>
      </c>
      <c r="C145" s="426" t="s">
        <v>196</v>
      </c>
      <c r="D145" s="427" t="s">
        <v>6</v>
      </c>
      <c r="E145" s="428">
        <v>59308</v>
      </c>
      <c r="F145" s="427">
        <v>2.5000000000000001E-2</v>
      </c>
      <c r="G145" s="428">
        <v>1483</v>
      </c>
    </row>
    <row r="146" spans="1:7">
      <c r="A146" s="420"/>
      <c r="B146" s="425" t="s">
        <v>194</v>
      </c>
      <c r="C146" s="426" t="s">
        <v>197</v>
      </c>
      <c r="D146" s="427" t="s">
        <v>6</v>
      </c>
      <c r="E146" s="428">
        <v>122942</v>
      </c>
      <c r="F146" s="427">
        <v>2.5000000000000001E-2</v>
      </c>
      <c r="G146" s="428">
        <v>3074</v>
      </c>
    </row>
    <row r="147" spans="1:7">
      <c r="A147" s="420"/>
      <c r="B147" s="425" t="s">
        <v>284</v>
      </c>
      <c r="C147" s="426" t="s">
        <v>285</v>
      </c>
      <c r="D147" s="427" t="s">
        <v>167</v>
      </c>
      <c r="E147" s="428">
        <v>32034</v>
      </c>
      <c r="F147" s="427">
        <v>1.03</v>
      </c>
      <c r="G147" s="428">
        <v>32995</v>
      </c>
    </row>
    <row r="148" spans="1:7">
      <c r="A148" s="420"/>
      <c r="B148" s="421" t="s">
        <v>299</v>
      </c>
      <c r="C148" s="422" t="s">
        <v>300</v>
      </c>
      <c r="D148" s="423" t="s">
        <v>6</v>
      </c>
      <c r="E148" s="424">
        <v>9447</v>
      </c>
      <c r="F148" s="423">
        <v>0.16</v>
      </c>
      <c r="G148" s="424">
        <v>1512</v>
      </c>
    </row>
    <row r="149" spans="1:7">
      <c r="A149" s="413"/>
      <c r="B149" s="416" t="s">
        <v>309</v>
      </c>
      <c r="C149" s="417" t="s">
        <v>310</v>
      </c>
      <c r="D149" s="418"/>
      <c r="E149" s="418"/>
      <c r="F149" s="418"/>
      <c r="G149" s="419"/>
    </row>
    <row r="150" spans="1:7">
      <c r="A150" s="420"/>
      <c r="B150" s="421" t="s">
        <v>10</v>
      </c>
      <c r="C150" s="422" t="s">
        <v>11</v>
      </c>
      <c r="D150" s="423" t="s">
        <v>6</v>
      </c>
      <c r="E150" s="424">
        <v>3311</v>
      </c>
      <c r="F150" s="423">
        <v>0.1</v>
      </c>
      <c r="G150" s="424">
        <v>331</v>
      </c>
    </row>
    <row r="151" spans="1:7">
      <c r="A151" s="413"/>
      <c r="B151" s="416" t="s">
        <v>309</v>
      </c>
      <c r="C151" s="417" t="s">
        <v>311</v>
      </c>
      <c r="D151" s="418"/>
      <c r="E151" s="418"/>
      <c r="F151" s="418"/>
      <c r="G151" s="419"/>
    </row>
    <row r="152" spans="1:7">
      <c r="A152" s="420"/>
      <c r="B152" s="421" t="s">
        <v>164</v>
      </c>
      <c r="C152" s="422" t="s">
        <v>165</v>
      </c>
      <c r="D152" s="423" t="s">
        <v>12</v>
      </c>
      <c r="E152" s="424">
        <v>171308</v>
      </c>
      <c r="F152" s="423">
        <v>4.0000000000000001E-3</v>
      </c>
      <c r="G152" s="424">
        <v>685</v>
      </c>
    </row>
    <row r="153" spans="1:7">
      <c r="A153" s="413"/>
      <c r="B153" s="416" t="s">
        <v>309</v>
      </c>
      <c r="C153" s="417" t="s">
        <v>312</v>
      </c>
      <c r="D153" s="418"/>
      <c r="E153" s="418"/>
      <c r="F153" s="418"/>
      <c r="G153" s="419"/>
    </row>
    <row r="154" spans="1:7">
      <c r="A154" s="420"/>
      <c r="B154" s="425" t="s">
        <v>440</v>
      </c>
      <c r="C154" s="426" t="s">
        <v>441</v>
      </c>
      <c r="D154" s="427" t="s">
        <v>13</v>
      </c>
      <c r="E154" s="428">
        <v>46535</v>
      </c>
      <c r="F154" s="427">
        <v>0.1</v>
      </c>
      <c r="G154" s="428">
        <v>4654</v>
      </c>
    </row>
    <row r="156" spans="1:7" ht="26.25">
      <c r="A156" s="408">
        <v>12</v>
      </c>
      <c r="B156" s="409" t="s">
        <v>473</v>
      </c>
      <c r="C156" s="410" t="s">
        <v>474</v>
      </c>
      <c r="D156" s="411" t="s">
        <v>7</v>
      </c>
      <c r="E156" s="412"/>
      <c r="F156" s="394" t="s">
        <v>305</v>
      </c>
      <c r="G156" s="395">
        <v>91953</v>
      </c>
    </row>
    <row r="157" spans="1:7">
      <c r="A157" s="413"/>
      <c r="B157" s="414" t="s">
        <v>306</v>
      </c>
      <c r="C157" s="415" t="s">
        <v>9</v>
      </c>
      <c r="D157" s="415" t="s">
        <v>1</v>
      </c>
      <c r="E157" s="415" t="s">
        <v>307</v>
      </c>
      <c r="F157" s="415" t="s">
        <v>3</v>
      </c>
      <c r="G157" s="415" t="s">
        <v>308</v>
      </c>
    </row>
    <row r="158" spans="1:7">
      <c r="A158" s="413"/>
      <c r="B158" s="416" t="s">
        <v>309</v>
      </c>
      <c r="C158" s="417" t="s">
        <v>313</v>
      </c>
      <c r="D158" s="418"/>
      <c r="E158" s="418"/>
      <c r="F158" s="418"/>
      <c r="G158" s="419"/>
    </row>
    <row r="159" spans="1:7">
      <c r="A159" s="420"/>
      <c r="B159" s="425" t="s">
        <v>151</v>
      </c>
      <c r="C159" s="426" t="s">
        <v>152</v>
      </c>
      <c r="D159" s="427" t="s">
        <v>6</v>
      </c>
      <c r="E159" s="428">
        <v>1733</v>
      </c>
      <c r="F159" s="427">
        <v>0.3</v>
      </c>
      <c r="G159" s="428">
        <v>520</v>
      </c>
    </row>
    <row r="160" spans="1:7">
      <c r="A160" s="420"/>
      <c r="B160" s="425" t="s">
        <v>475</v>
      </c>
      <c r="C160" s="426" t="s">
        <v>476</v>
      </c>
      <c r="D160" s="427" t="s">
        <v>167</v>
      </c>
      <c r="E160" s="428">
        <v>183</v>
      </c>
      <c r="F160" s="427">
        <v>1.03</v>
      </c>
      <c r="G160" s="428">
        <v>188</v>
      </c>
    </row>
    <row r="161" spans="1:7">
      <c r="A161" s="420"/>
      <c r="B161" s="425" t="s">
        <v>193</v>
      </c>
      <c r="C161" s="426" t="s">
        <v>196</v>
      </c>
      <c r="D161" s="427" t="s">
        <v>6</v>
      </c>
      <c r="E161" s="428">
        <v>59308</v>
      </c>
      <c r="F161" s="427">
        <v>0.03</v>
      </c>
      <c r="G161" s="428">
        <v>1779</v>
      </c>
    </row>
    <row r="162" spans="1:7">
      <c r="A162" s="420"/>
      <c r="B162" s="425" t="s">
        <v>194</v>
      </c>
      <c r="C162" s="426" t="s">
        <v>197</v>
      </c>
      <c r="D162" s="427" t="s">
        <v>6</v>
      </c>
      <c r="E162" s="428">
        <v>122942</v>
      </c>
      <c r="F162" s="427">
        <v>0.03</v>
      </c>
      <c r="G162" s="428">
        <v>3688</v>
      </c>
    </row>
    <row r="163" spans="1:7">
      <c r="A163" s="420"/>
      <c r="B163" s="425" t="s">
        <v>477</v>
      </c>
      <c r="C163" s="426" t="s">
        <v>478</v>
      </c>
      <c r="D163" s="427" t="s">
        <v>167</v>
      </c>
      <c r="E163" s="428">
        <v>67838</v>
      </c>
      <c r="F163" s="427">
        <v>1.05</v>
      </c>
      <c r="G163" s="428">
        <v>71230</v>
      </c>
    </row>
    <row r="164" spans="1:7">
      <c r="A164" s="420"/>
      <c r="B164" s="421" t="s">
        <v>479</v>
      </c>
      <c r="C164" s="422" t="s">
        <v>480</v>
      </c>
      <c r="D164" s="423" t="s">
        <v>6</v>
      </c>
      <c r="E164" s="424">
        <v>41407</v>
      </c>
      <c r="F164" s="423">
        <v>0.16</v>
      </c>
      <c r="G164" s="424">
        <v>6625</v>
      </c>
    </row>
    <row r="165" spans="1:7">
      <c r="A165" s="413"/>
      <c r="B165" s="416" t="s">
        <v>309</v>
      </c>
      <c r="C165" s="417" t="s">
        <v>310</v>
      </c>
      <c r="D165" s="418"/>
      <c r="E165" s="418"/>
      <c r="F165" s="418"/>
      <c r="G165" s="419"/>
    </row>
    <row r="166" spans="1:7">
      <c r="A166" s="420"/>
      <c r="B166" s="421" t="s">
        <v>10</v>
      </c>
      <c r="C166" s="422" t="s">
        <v>11</v>
      </c>
      <c r="D166" s="423" t="s">
        <v>6</v>
      </c>
      <c r="E166" s="424">
        <v>3311</v>
      </c>
      <c r="F166" s="423">
        <v>0.1</v>
      </c>
      <c r="G166" s="424">
        <v>331</v>
      </c>
    </row>
    <row r="167" spans="1:7">
      <c r="A167" s="413"/>
      <c r="B167" s="416" t="s">
        <v>309</v>
      </c>
      <c r="C167" s="417" t="s">
        <v>311</v>
      </c>
      <c r="D167" s="418"/>
      <c r="E167" s="418"/>
      <c r="F167" s="418"/>
      <c r="G167" s="419"/>
    </row>
    <row r="168" spans="1:7">
      <c r="A168" s="420"/>
      <c r="B168" s="421" t="s">
        <v>164</v>
      </c>
      <c r="C168" s="422" t="s">
        <v>165</v>
      </c>
      <c r="D168" s="423" t="s">
        <v>12</v>
      </c>
      <c r="E168" s="424">
        <v>171308</v>
      </c>
      <c r="F168" s="423">
        <v>8.9999999999999993E-3</v>
      </c>
      <c r="G168" s="424">
        <v>1542</v>
      </c>
    </row>
    <row r="169" spans="1:7">
      <c r="A169" s="413"/>
      <c r="B169" s="416" t="s">
        <v>309</v>
      </c>
      <c r="C169" s="417" t="s">
        <v>312</v>
      </c>
      <c r="D169" s="418"/>
      <c r="E169" s="418"/>
      <c r="F169" s="418"/>
      <c r="G169" s="419"/>
    </row>
    <row r="170" spans="1:7">
      <c r="A170" s="420"/>
      <c r="B170" s="425" t="s">
        <v>440</v>
      </c>
      <c r="C170" s="426" t="s">
        <v>441</v>
      </c>
      <c r="D170" s="427" t="s">
        <v>13</v>
      </c>
      <c r="E170" s="428">
        <v>46535</v>
      </c>
      <c r="F170" s="427">
        <v>0.13</v>
      </c>
      <c r="G170" s="428">
        <v>6050</v>
      </c>
    </row>
    <row r="172" spans="1:7" ht="26.25">
      <c r="A172" s="408">
        <v>13</v>
      </c>
      <c r="B172" s="409" t="s">
        <v>301</v>
      </c>
      <c r="C172" s="410" t="s">
        <v>304</v>
      </c>
      <c r="D172" s="411" t="s">
        <v>6</v>
      </c>
      <c r="E172" s="412"/>
      <c r="F172" s="394" t="s">
        <v>305</v>
      </c>
      <c r="G172" s="395">
        <v>18598</v>
      </c>
    </row>
    <row r="173" spans="1:7">
      <c r="A173" s="413"/>
      <c r="B173" s="414" t="s">
        <v>306</v>
      </c>
      <c r="C173" s="415" t="s">
        <v>9</v>
      </c>
      <c r="D173" s="415" t="s">
        <v>1</v>
      </c>
      <c r="E173" s="415" t="s">
        <v>307</v>
      </c>
      <c r="F173" s="415" t="s">
        <v>3</v>
      </c>
      <c r="G173" s="415" t="s">
        <v>308</v>
      </c>
    </row>
    <row r="174" spans="1:7">
      <c r="A174" s="413"/>
      <c r="B174" s="416" t="s">
        <v>309</v>
      </c>
      <c r="C174" s="417" t="s">
        <v>313</v>
      </c>
      <c r="D174" s="418"/>
      <c r="E174" s="418"/>
      <c r="F174" s="418"/>
      <c r="G174" s="419"/>
    </row>
    <row r="175" spans="1:7">
      <c r="A175" s="420"/>
      <c r="B175" s="425" t="s">
        <v>151</v>
      </c>
      <c r="C175" s="426" t="s">
        <v>152</v>
      </c>
      <c r="D175" s="427" t="s">
        <v>6</v>
      </c>
      <c r="E175" s="428">
        <v>1733</v>
      </c>
      <c r="F175" s="427">
        <v>0.3</v>
      </c>
      <c r="G175" s="428">
        <v>520</v>
      </c>
    </row>
    <row r="176" spans="1:7">
      <c r="A176" s="420"/>
      <c r="B176" s="425" t="s">
        <v>214</v>
      </c>
      <c r="C176" s="426" t="s">
        <v>223</v>
      </c>
      <c r="D176" s="427" t="s">
        <v>53</v>
      </c>
      <c r="E176" s="428">
        <v>2811</v>
      </c>
      <c r="F176" s="427">
        <v>7.0000000000000007E-2</v>
      </c>
      <c r="G176" s="428">
        <v>197</v>
      </c>
    </row>
    <row r="177" spans="1:7" ht="24.75">
      <c r="A177" s="420"/>
      <c r="B177" s="421" t="s">
        <v>302</v>
      </c>
      <c r="C177" s="422" t="s">
        <v>303</v>
      </c>
      <c r="D177" s="423" t="s">
        <v>6</v>
      </c>
      <c r="E177" s="424">
        <v>10230</v>
      </c>
      <c r="F177" s="423">
        <v>1</v>
      </c>
      <c r="G177" s="424">
        <v>10230</v>
      </c>
    </row>
    <row r="178" spans="1:7">
      <c r="A178" s="413"/>
      <c r="B178" s="416" t="s">
        <v>309</v>
      </c>
      <c r="C178" s="417" t="s">
        <v>310</v>
      </c>
      <c r="D178" s="418"/>
      <c r="E178" s="418"/>
      <c r="F178" s="418"/>
      <c r="G178" s="419"/>
    </row>
    <row r="179" spans="1:7">
      <c r="A179" s="420"/>
      <c r="B179" s="421" t="s">
        <v>10</v>
      </c>
      <c r="C179" s="422" t="s">
        <v>11</v>
      </c>
      <c r="D179" s="423" t="s">
        <v>6</v>
      </c>
      <c r="E179" s="424">
        <v>3311</v>
      </c>
      <c r="F179" s="423">
        <v>0.02</v>
      </c>
      <c r="G179" s="424">
        <v>66</v>
      </c>
    </row>
    <row r="180" spans="1:7">
      <c r="A180" s="413"/>
      <c r="B180" s="416" t="s">
        <v>309</v>
      </c>
      <c r="C180" s="417" t="s">
        <v>311</v>
      </c>
      <c r="D180" s="418"/>
      <c r="E180" s="418"/>
      <c r="F180" s="418"/>
      <c r="G180" s="419"/>
    </row>
    <row r="181" spans="1:7">
      <c r="A181" s="420"/>
      <c r="B181" s="421" t="s">
        <v>164</v>
      </c>
      <c r="C181" s="422" t="s">
        <v>165</v>
      </c>
      <c r="D181" s="423" t="s">
        <v>12</v>
      </c>
      <c r="E181" s="424">
        <v>171308</v>
      </c>
      <c r="F181" s="423">
        <v>1E-3</v>
      </c>
      <c r="G181" s="424">
        <v>171</v>
      </c>
    </row>
    <row r="182" spans="1:7">
      <c r="A182" s="413"/>
      <c r="B182" s="416" t="s">
        <v>309</v>
      </c>
      <c r="C182" s="417" t="s">
        <v>312</v>
      </c>
      <c r="D182" s="418"/>
      <c r="E182" s="418"/>
      <c r="F182" s="418"/>
      <c r="G182" s="419"/>
    </row>
    <row r="183" spans="1:7">
      <c r="A183" s="420"/>
      <c r="B183" s="425" t="s">
        <v>156</v>
      </c>
      <c r="C183" s="426" t="s">
        <v>157</v>
      </c>
      <c r="D183" s="427" t="s">
        <v>13</v>
      </c>
      <c r="E183" s="428">
        <v>23915</v>
      </c>
      <c r="F183" s="427">
        <v>0.31</v>
      </c>
      <c r="G183" s="428">
        <v>7414</v>
      </c>
    </row>
    <row r="185" spans="1:7" ht="26.25">
      <c r="A185" s="408">
        <v>14</v>
      </c>
      <c r="B185" s="409" t="s">
        <v>481</v>
      </c>
      <c r="C185" s="410" t="s">
        <v>482</v>
      </c>
      <c r="D185" s="411" t="s">
        <v>5</v>
      </c>
      <c r="E185" s="412"/>
      <c r="F185" s="394" t="s">
        <v>305</v>
      </c>
      <c r="G185" s="395">
        <v>130091</v>
      </c>
    </row>
    <row r="186" spans="1:7">
      <c r="A186" s="413"/>
      <c r="B186" s="414" t="s">
        <v>306</v>
      </c>
      <c r="C186" s="415" t="s">
        <v>9</v>
      </c>
      <c r="D186" s="415" t="s">
        <v>1</v>
      </c>
      <c r="E186" s="415" t="s">
        <v>307</v>
      </c>
      <c r="F186" s="415" t="s">
        <v>3</v>
      </c>
      <c r="G186" s="415" t="s">
        <v>308</v>
      </c>
    </row>
    <row r="187" spans="1:7">
      <c r="A187" s="413"/>
      <c r="B187" s="416" t="s">
        <v>309</v>
      </c>
      <c r="C187" s="417" t="s">
        <v>313</v>
      </c>
      <c r="D187" s="418"/>
      <c r="E187" s="418"/>
      <c r="F187" s="418"/>
      <c r="G187" s="419"/>
    </row>
    <row r="188" spans="1:7">
      <c r="A188" s="420"/>
      <c r="B188" s="425" t="s">
        <v>151</v>
      </c>
      <c r="C188" s="426" t="s">
        <v>152</v>
      </c>
      <c r="D188" s="427" t="s">
        <v>6</v>
      </c>
      <c r="E188" s="428">
        <v>1733</v>
      </c>
      <c r="F188" s="427">
        <v>0.6</v>
      </c>
      <c r="G188" s="428">
        <v>1040</v>
      </c>
    </row>
    <row r="189" spans="1:7">
      <c r="A189" s="420"/>
      <c r="B189" s="421" t="s">
        <v>483</v>
      </c>
      <c r="C189" s="422" t="s">
        <v>484</v>
      </c>
      <c r="D189" s="423" t="s">
        <v>5</v>
      </c>
      <c r="E189" s="424">
        <v>65778</v>
      </c>
      <c r="F189" s="423">
        <v>1.4</v>
      </c>
      <c r="G189" s="424">
        <v>92089</v>
      </c>
    </row>
    <row r="190" spans="1:7">
      <c r="A190" s="413"/>
      <c r="B190" s="416" t="s">
        <v>309</v>
      </c>
      <c r="C190" s="417" t="s">
        <v>310</v>
      </c>
      <c r="D190" s="418"/>
      <c r="E190" s="418"/>
      <c r="F190" s="418"/>
      <c r="G190" s="419"/>
    </row>
    <row r="191" spans="1:7">
      <c r="A191" s="420"/>
      <c r="B191" s="421" t="s">
        <v>10</v>
      </c>
      <c r="C191" s="422" t="s">
        <v>11</v>
      </c>
      <c r="D191" s="423" t="s">
        <v>6</v>
      </c>
      <c r="E191" s="424">
        <v>3311</v>
      </c>
      <c r="F191" s="423">
        <v>0.5</v>
      </c>
      <c r="G191" s="424">
        <v>1656</v>
      </c>
    </row>
    <row r="192" spans="1:7">
      <c r="A192" s="413"/>
      <c r="B192" s="416" t="s">
        <v>309</v>
      </c>
      <c r="C192" s="417" t="s">
        <v>311</v>
      </c>
      <c r="D192" s="418"/>
      <c r="E192" s="418"/>
      <c r="F192" s="418"/>
      <c r="G192" s="419"/>
    </row>
    <row r="193" spans="1:7">
      <c r="A193" s="420"/>
      <c r="B193" s="421" t="s">
        <v>422</v>
      </c>
      <c r="C193" s="422" t="s">
        <v>433</v>
      </c>
      <c r="D193" s="423" t="s">
        <v>12</v>
      </c>
      <c r="E193" s="424">
        <v>56533</v>
      </c>
      <c r="F193" s="423">
        <v>0.4</v>
      </c>
      <c r="G193" s="424">
        <v>22613</v>
      </c>
    </row>
    <row r="194" spans="1:7">
      <c r="A194" s="413"/>
      <c r="B194" s="416" t="s">
        <v>309</v>
      </c>
      <c r="C194" s="417" t="s">
        <v>312</v>
      </c>
      <c r="D194" s="418"/>
      <c r="E194" s="418"/>
      <c r="F194" s="418"/>
      <c r="G194" s="419"/>
    </row>
    <row r="195" spans="1:7">
      <c r="A195" s="420"/>
      <c r="B195" s="425" t="s">
        <v>160</v>
      </c>
      <c r="C195" s="426" t="s">
        <v>161</v>
      </c>
      <c r="D195" s="427" t="s">
        <v>13</v>
      </c>
      <c r="E195" s="428">
        <v>42311</v>
      </c>
      <c r="F195" s="427">
        <v>0.3</v>
      </c>
      <c r="G195" s="428">
        <v>12693</v>
      </c>
    </row>
    <row r="197" spans="1:7" ht="39">
      <c r="A197" s="408">
        <v>15</v>
      </c>
      <c r="B197" s="409" t="s">
        <v>485</v>
      </c>
      <c r="C197" s="410" t="s">
        <v>486</v>
      </c>
      <c r="D197" s="411" t="s">
        <v>53</v>
      </c>
      <c r="E197" s="412"/>
      <c r="F197" s="394" t="s">
        <v>305</v>
      </c>
      <c r="G197" s="395">
        <v>8209</v>
      </c>
    </row>
    <row r="198" spans="1:7">
      <c r="A198" s="413"/>
      <c r="B198" s="414" t="s">
        <v>306</v>
      </c>
      <c r="C198" s="415" t="s">
        <v>9</v>
      </c>
      <c r="D198" s="415" t="s">
        <v>1</v>
      </c>
      <c r="E198" s="415" t="s">
        <v>307</v>
      </c>
      <c r="F198" s="415" t="s">
        <v>3</v>
      </c>
      <c r="G198" s="415" t="s">
        <v>308</v>
      </c>
    </row>
    <row r="199" spans="1:7">
      <c r="A199" s="413"/>
      <c r="B199" s="416" t="s">
        <v>309</v>
      </c>
      <c r="C199" s="417" t="s">
        <v>313</v>
      </c>
      <c r="D199" s="418"/>
      <c r="E199" s="418"/>
      <c r="F199" s="418"/>
      <c r="G199" s="419"/>
    </row>
    <row r="200" spans="1:7">
      <c r="A200" s="420"/>
      <c r="B200" s="425" t="s">
        <v>151</v>
      </c>
      <c r="C200" s="426" t="s">
        <v>152</v>
      </c>
      <c r="D200" s="427" t="s">
        <v>6</v>
      </c>
      <c r="E200" s="428">
        <v>1733</v>
      </c>
      <c r="F200" s="427">
        <v>5.2999999999999999E-2</v>
      </c>
      <c r="G200" s="428">
        <v>92</v>
      </c>
    </row>
    <row r="201" spans="1:7">
      <c r="A201" s="420"/>
      <c r="B201" s="425" t="s">
        <v>168</v>
      </c>
      <c r="C201" s="426" t="s">
        <v>428</v>
      </c>
      <c r="D201" s="427" t="s">
        <v>53</v>
      </c>
      <c r="E201" s="428">
        <v>5644</v>
      </c>
      <c r="F201" s="427">
        <v>3.1E-2</v>
      </c>
      <c r="G201" s="428">
        <v>175</v>
      </c>
    </row>
    <row r="202" spans="1:7">
      <c r="A202" s="420"/>
      <c r="B202" s="421" t="s">
        <v>169</v>
      </c>
      <c r="C202" s="422" t="s">
        <v>429</v>
      </c>
      <c r="D202" s="423" t="s">
        <v>53</v>
      </c>
      <c r="E202" s="424">
        <v>5905</v>
      </c>
      <c r="F202" s="423">
        <v>1.05</v>
      </c>
      <c r="G202" s="424">
        <v>6200</v>
      </c>
    </row>
    <row r="203" spans="1:7">
      <c r="A203" s="413"/>
      <c r="B203" s="416" t="s">
        <v>309</v>
      </c>
      <c r="C203" s="417" t="s">
        <v>311</v>
      </c>
      <c r="D203" s="418"/>
      <c r="E203" s="418"/>
      <c r="F203" s="418"/>
      <c r="G203" s="419"/>
    </row>
    <row r="204" spans="1:7">
      <c r="A204" s="420"/>
      <c r="B204" s="421" t="s">
        <v>164</v>
      </c>
      <c r="C204" s="422" t="s">
        <v>165</v>
      </c>
      <c r="D204" s="423" t="s">
        <v>12</v>
      </c>
      <c r="E204" s="424">
        <v>171308</v>
      </c>
      <c r="F204" s="423">
        <v>5.0000000000000001E-4</v>
      </c>
      <c r="G204" s="424">
        <v>86</v>
      </c>
    </row>
    <row r="205" spans="1:7">
      <c r="A205" s="413"/>
      <c r="B205" s="416" t="s">
        <v>309</v>
      </c>
      <c r="C205" s="417" t="s">
        <v>312</v>
      </c>
      <c r="D205" s="418"/>
      <c r="E205" s="418"/>
      <c r="F205" s="418"/>
      <c r="G205" s="419"/>
    </row>
    <row r="206" spans="1:7">
      <c r="A206" s="420"/>
      <c r="B206" s="425" t="s">
        <v>169</v>
      </c>
      <c r="C206" s="426" t="s">
        <v>170</v>
      </c>
      <c r="D206" s="427" t="s">
        <v>13</v>
      </c>
      <c r="E206" s="428">
        <v>33113</v>
      </c>
      <c r="F206" s="427">
        <v>0.05</v>
      </c>
      <c r="G206" s="428">
        <v>1656</v>
      </c>
    </row>
    <row r="208" spans="1:7" ht="26.25">
      <c r="A208" s="408">
        <v>16</v>
      </c>
      <c r="B208" s="409" t="s">
        <v>487</v>
      </c>
      <c r="C208" s="410" t="s">
        <v>488</v>
      </c>
      <c r="D208" s="411" t="s">
        <v>8</v>
      </c>
      <c r="E208" s="412"/>
      <c r="F208" s="394" t="s">
        <v>305</v>
      </c>
      <c r="G208" s="395">
        <v>99079</v>
      </c>
    </row>
    <row r="209" spans="1:7">
      <c r="A209" s="413"/>
      <c r="B209" s="414" t="s">
        <v>306</v>
      </c>
      <c r="C209" s="415" t="s">
        <v>9</v>
      </c>
      <c r="D209" s="415" t="s">
        <v>1</v>
      </c>
      <c r="E209" s="415" t="s">
        <v>307</v>
      </c>
      <c r="F209" s="415" t="s">
        <v>3</v>
      </c>
      <c r="G209" s="415" t="s">
        <v>308</v>
      </c>
    </row>
    <row r="210" spans="1:7">
      <c r="A210" s="413"/>
      <c r="B210" s="416" t="s">
        <v>309</v>
      </c>
      <c r="C210" s="417" t="s">
        <v>313</v>
      </c>
      <c r="D210" s="418"/>
      <c r="E210" s="418"/>
      <c r="F210" s="418"/>
      <c r="G210" s="419"/>
    </row>
    <row r="211" spans="1:7">
      <c r="A211" s="420"/>
      <c r="B211" s="425" t="s">
        <v>151</v>
      </c>
      <c r="C211" s="426" t="s">
        <v>152</v>
      </c>
      <c r="D211" s="427" t="s">
        <v>6</v>
      </c>
      <c r="E211" s="428">
        <v>1733</v>
      </c>
      <c r="F211" s="427">
        <v>1.1000000000000001</v>
      </c>
      <c r="G211" s="428">
        <v>1906</v>
      </c>
    </row>
    <row r="212" spans="1:7">
      <c r="A212" s="420"/>
      <c r="B212" s="425" t="s">
        <v>425</v>
      </c>
      <c r="C212" s="426" t="s">
        <v>426</v>
      </c>
      <c r="D212" s="427" t="s">
        <v>427</v>
      </c>
      <c r="E212" s="428">
        <v>4680</v>
      </c>
      <c r="F212" s="427">
        <v>0.03</v>
      </c>
      <c r="G212" s="428">
        <v>140</v>
      </c>
    </row>
    <row r="213" spans="1:7">
      <c r="A213" s="420"/>
      <c r="B213" s="425" t="s">
        <v>423</v>
      </c>
      <c r="C213" s="426" t="s">
        <v>424</v>
      </c>
      <c r="D213" s="427" t="s">
        <v>167</v>
      </c>
      <c r="E213" s="428">
        <v>4235</v>
      </c>
      <c r="F213" s="427">
        <v>1</v>
      </c>
      <c r="G213" s="428">
        <v>4235</v>
      </c>
    </row>
    <row r="214" spans="1:7">
      <c r="A214" s="420"/>
      <c r="B214" s="421" t="s">
        <v>489</v>
      </c>
      <c r="C214" s="422" t="s">
        <v>490</v>
      </c>
      <c r="D214" s="423" t="s">
        <v>6</v>
      </c>
      <c r="E214" s="424">
        <v>17890</v>
      </c>
      <c r="F214" s="423">
        <v>0.33</v>
      </c>
      <c r="G214" s="424">
        <v>5904</v>
      </c>
    </row>
    <row r="215" spans="1:7">
      <c r="A215" s="413"/>
      <c r="B215" s="416" t="s">
        <v>309</v>
      </c>
      <c r="C215" s="417" t="s">
        <v>310</v>
      </c>
      <c r="D215" s="418"/>
      <c r="E215" s="418"/>
      <c r="F215" s="418"/>
      <c r="G215" s="419"/>
    </row>
    <row r="216" spans="1:7">
      <c r="A216" s="420"/>
      <c r="B216" s="421" t="s">
        <v>10</v>
      </c>
      <c r="C216" s="422" t="s">
        <v>11</v>
      </c>
      <c r="D216" s="423" t="s">
        <v>6</v>
      </c>
      <c r="E216" s="424">
        <v>3311</v>
      </c>
      <c r="F216" s="423">
        <v>0.03</v>
      </c>
      <c r="G216" s="424">
        <v>99</v>
      </c>
    </row>
    <row r="217" spans="1:7">
      <c r="A217" s="413"/>
      <c r="B217" s="416" t="s">
        <v>309</v>
      </c>
      <c r="C217" s="417" t="s">
        <v>311</v>
      </c>
      <c r="D217" s="418"/>
      <c r="E217" s="418"/>
      <c r="F217" s="418"/>
      <c r="G217" s="419"/>
    </row>
    <row r="218" spans="1:7">
      <c r="A218" s="420"/>
      <c r="B218" s="425" t="s">
        <v>164</v>
      </c>
      <c r="C218" s="426" t="s">
        <v>165</v>
      </c>
      <c r="D218" s="427" t="s">
        <v>12</v>
      </c>
      <c r="E218" s="428">
        <v>171308</v>
      </c>
      <c r="F218" s="427">
        <v>7.4999999999999997E-3</v>
      </c>
      <c r="G218" s="428">
        <v>1285</v>
      </c>
    </row>
    <row r="219" spans="1:7">
      <c r="A219" s="420"/>
      <c r="B219" s="421" t="s">
        <v>166</v>
      </c>
      <c r="C219" s="422" t="s">
        <v>430</v>
      </c>
      <c r="D219" s="423" t="s">
        <v>12</v>
      </c>
      <c r="E219" s="424">
        <v>67825</v>
      </c>
      <c r="F219" s="423">
        <v>7.0000000000000001E-3</v>
      </c>
      <c r="G219" s="424">
        <v>475</v>
      </c>
    </row>
    <row r="220" spans="1:7">
      <c r="A220" s="413"/>
      <c r="B220" s="416" t="s">
        <v>309</v>
      </c>
      <c r="C220" s="417" t="s">
        <v>312</v>
      </c>
      <c r="D220" s="418"/>
      <c r="E220" s="418"/>
      <c r="F220" s="418"/>
      <c r="G220" s="419"/>
    </row>
    <row r="221" spans="1:7">
      <c r="A221" s="420"/>
      <c r="B221" s="421" t="s">
        <v>171</v>
      </c>
      <c r="C221" s="422" t="s">
        <v>491</v>
      </c>
      <c r="D221" s="423" t="s">
        <v>13</v>
      </c>
      <c r="E221" s="424">
        <v>69905</v>
      </c>
      <c r="F221" s="423">
        <v>0.4</v>
      </c>
      <c r="G221" s="424">
        <v>27962</v>
      </c>
    </row>
    <row r="222" spans="1:7">
      <c r="A222" s="413"/>
      <c r="B222" s="416" t="s">
        <v>309</v>
      </c>
      <c r="C222" s="417" t="s">
        <v>314</v>
      </c>
      <c r="D222" s="418"/>
      <c r="E222" s="418"/>
      <c r="F222" s="418"/>
      <c r="G222" s="419"/>
    </row>
    <row r="223" spans="1:7">
      <c r="A223" s="420"/>
      <c r="B223" s="425" t="s">
        <v>431</v>
      </c>
      <c r="C223" s="426" t="s">
        <v>432</v>
      </c>
      <c r="D223" s="427" t="s">
        <v>5</v>
      </c>
      <c r="E223" s="428">
        <v>554104</v>
      </c>
      <c r="F223" s="427">
        <v>0.10299999999999999</v>
      </c>
      <c r="G223" s="428">
        <v>57073</v>
      </c>
    </row>
    <row r="225" spans="1:7" ht="26.25">
      <c r="A225" s="408">
        <v>17</v>
      </c>
      <c r="B225" s="409" t="s">
        <v>492</v>
      </c>
      <c r="C225" s="410" t="s">
        <v>493</v>
      </c>
      <c r="D225" s="411" t="s">
        <v>7</v>
      </c>
      <c r="E225" s="412"/>
      <c r="F225" s="394" t="s">
        <v>305</v>
      </c>
      <c r="G225" s="395">
        <v>15518</v>
      </c>
    </row>
    <row r="226" spans="1:7">
      <c r="A226" s="413"/>
      <c r="B226" s="414" t="s">
        <v>306</v>
      </c>
      <c r="C226" s="415" t="s">
        <v>9</v>
      </c>
      <c r="D226" s="415" t="s">
        <v>1</v>
      </c>
      <c r="E226" s="415" t="s">
        <v>307</v>
      </c>
      <c r="F226" s="415" t="s">
        <v>3</v>
      </c>
      <c r="G226" s="415" t="s">
        <v>308</v>
      </c>
    </row>
    <row r="227" spans="1:7">
      <c r="A227" s="413"/>
      <c r="B227" s="416" t="s">
        <v>309</v>
      </c>
      <c r="C227" s="417" t="s">
        <v>313</v>
      </c>
      <c r="D227" s="418"/>
      <c r="E227" s="418"/>
      <c r="F227" s="418"/>
      <c r="G227" s="419"/>
    </row>
    <row r="228" spans="1:7">
      <c r="A228" s="420"/>
      <c r="B228" s="425" t="s">
        <v>151</v>
      </c>
      <c r="C228" s="426" t="s">
        <v>152</v>
      </c>
      <c r="D228" s="427" t="s">
        <v>6</v>
      </c>
      <c r="E228" s="428">
        <v>1733</v>
      </c>
      <c r="F228" s="427">
        <v>0.49</v>
      </c>
      <c r="G228" s="428">
        <v>849</v>
      </c>
    </row>
    <row r="229" spans="1:7">
      <c r="A229" s="420"/>
      <c r="B229" s="421" t="s">
        <v>494</v>
      </c>
      <c r="C229" s="422" t="s">
        <v>495</v>
      </c>
      <c r="D229" s="423" t="s">
        <v>6</v>
      </c>
      <c r="E229" s="424">
        <v>100150</v>
      </c>
      <c r="F229" s="423">
        <v>0.03</v>
      </c>
      <c r="G229" s="424">
        <v>3005</v>
      </c>
    </row>
    <row r="230" spans="1:7">
      <c r="A230" s="413"/>
      <c r="B230" s="416" t="s">
        <v>309</v>
      </c>
      <c r="C230" s="417" t="s">
        <v>310</v>
      </c>
      <c r="D230" s="418"/>
      <c r="E230" s="418"/>
      <c r="F230" s="418"/>
      <c r="G230" s="419"/>
    </row>
    <row r="231" spans="1:7">
      <c r="A231" s="420"/>
      <c r="B231" s="421" t="s">
        <v>10</v>
      </c>
      <c r="C231" s="422" t="s">
        <v>11</v>
      </c>
      <c r="D231" s="423" t="s">
        <v>6</v>
      </c>
      <c r="E231" s="424">
        <v>3311</v>
      </c>
      <c r="F231" s="423">
        <v>7.0000000000000001E-3</v>
      </c>
      <c r="G231" s="424">
        <v>23</v>
      </c>
    </row>
    <row r="232" spans="1:7">
      <c r="A232" s="413"/>
      <c r="B232" s="416" t="s">
        <v>309</v>
      </c>
      <c r="C232" s="417" t="s">
        <v>311</v>
      </c>
      <c r="D232" s="418"/>
      <c r="E232" s="418"/>
      <c r="F232" s="418"/>
      <c r="G232" s="419"/>
    </row>
    <row r="233" spans="1:7">
      <c r="A233" s="420"/>
      <c r="B233" s="421" t="s">
        <v>164</v>
      </c>
      <c r="C233" s="422" t="s">
        <v>165</v>
      </c>
      <c r="D233" s="423" t="s">
        <v>12</v>
      </c>
      <c r="E233" s="424">
        <v>171308</v>
      </c>
      <c r="F233" s="423">
        <v>2.9999999999999997E-4</v>
      </c>
      <c r="G233" s="424">
        <v>51</v>
      </c>
    </row>
    <row r="234" spans="1:7">
      <c r="A234" s="413"/>
      <c r="B234" s="416" t="s">
        <v>309</v>
      </c>
      <c r="C234" s="417" t="s">
        <v>312</v>
      </c>
      <c r="D234" s="418"/>
      <c r="E234" s="418"/>
      <c r="F234" s="418"/>
      <c r="G234" s="419"/>
    </row>
    <row r="235" spans="1:7">
      <c r="A235" s="420"/>
      <c r="B235" s="425" t="s">
        <v>169</v>
      </c>
      <c r="C235" s="426" t="s">
        <v>170</v>
      </c>
      <c r="D235" s="427" t="s">
        <v>13</v>
      </c>
      <c r="E235" s="428">
        <v>33113</v>
      </c>
      <c r="F235" s="427">
        <v>0.35</v>
      </c>
      <c r="G235" s="428">
        <v>11590</v>
      </c>
    </row>
    <row r="237" spans="1:7" ht="26.25">
      <c r="A237" s="408">
        <v>18</v>
      </c>
      <c r="B237" s="409" t="s">
        <v>496</v>
      </c>
      <c r="C237" s="410" t="s">
        <v>497</v>
      </c>
      <c r="D237" s="411" t="s">
        <v>8</v>
      </c>
      <c r="E237" s="412"/>
      <c r="F237" s="394" t="s">
        <v>305</v>
      </c>
      <c r="G237" s="395">
        <v>58495</v>
      </c>
    </row>
    <row r="238" spans="1:7">
      <c r="A238" s="413"/>
      <c r="B238" s="414" t="s">
        <v>306</v>
      </c>
      <c r="C238" s="415" t="s">
        <v>9</v>
      </c>
      <c r="D238" s="415" t="s">
        <v>1</v>
      </c>
      <c r="E238" s="415" t="s">
        <v>307</v>
      </c>
      <c r="F238" s="415" t="s">
        <v>3</v>
      </c>
      <c r="G238" s="415" t="s">
        <v>308</v>
      </c>
    </row>
    <row r="239" spans="1:7">
      <c r="A239" s="413"/>
      <c r="B239" s="416" t="s">
        <v>309</v>
      </c>
      <c r="C239" s="417" t="s">
        <v>313</v>
      </c>
      <c r="D239" s="418"/>
      <c r="E239" s="418"/>
      <c r="F239" s="418"/>
      <c r="G239" s="419"/>
    </row>
    <row r="240" spans="1:7">
      <c r="A240" s="420"/>
      <c r="B240" s="425" t="s">
        <v>151</v>
      </c>
      <c r="C240" s="426" t="s">
        <v>152</v>
      </c>
      <c r="D240" s="427" t="s">
        <v>6</v>
      </c>
      <c r="E240" s="428">
        <v>1733</v>
      </c>
      <c r="F240" s="427">
        <v>1.1000000000000001</v>
      </c>
      <c r="G240" s="428">
        <v>1906</v>
      </c>
    </row>
    <row r="241" spans="1:7">
      <c r="A241" s="420"/>
      <c r="B241" s="421" t="s">
        <v>498</v>
      </c>
      <c r="C241" s="422" t="s">
        <v>499</v>
      </c>
      <c r="D241" s="423" t="s">
        <v>6</v>
      </c>
      <c r="E241" s="424">
        <v>1760</v>
      </c>
      <c r="F241" s="423">
        <v>12.914999999999999</v>
      </c>
      <c r="G241" s="424">
        <v>22730</v>
      </c>
    </row>
    <row r="242" spans="1:7">
      <c r="A242" s="413"/>
      <c r="B242" s="416" t="s">
        <v>309</v>
      </c>
      <c r="C242" s="417" t="s">
        <v>310</v>
      </c>
      <c r="D242" s="418"/>
      <c r="E242" s="418"/>
      <c r="F242" s="418"/>
      <c r="G242" s="419"/>
    </row>
    <row r="243" spans="1:7">
      <c r="A243" s="420"/>
      <c r="B243" s="421" t="s">
        <v>10</v>
      </c>
      <c r="C243" s="422" t="s">
        <v>11</v>
      </c>
      <c r="D243" s="423" t="s">
        <v>6</v>
      </c>
      <c r="E243" s="424">
        <v>3311</v>
      </c>
      <c r="F243" s="423">
        <v>0.1</v>
      </c>
      <c r="G243" s="424">
        <v>331</v>
      </c>
    </row>
    <row r="244" spans="1:7">
      <c r="A244" s="413"/>
      <c r="B244" s="416" t="s">
        <v>309</v>
      </c>
      <c r="C244" s="417" t="s">
        <v>311</v>
      </c>
      <c r="D244" s="418"/>
      <c r="E244" s="418"/>
      <c r="F244" s="418"/>
      <c r="G244" s="419"/>
    </row>
    <row r="245" spans="1:7">
      <c r="A245" s="420"/>
      <c r="B245" s="421" t="s">
        <v>164</v>
      </c>
      <c r="C245" s="422" t="s">
        <v>165</v>
      </c>
      <c r="D245" s="423" t="s">
        <v>12</v>
      </c>
      <c r="E245" s="424">
        <v>171308</v>
      </c>
      <c r="F245" s="423">
        <v>3.3E-3</v>
      </c>
      <c r="G245" s="424">
        <v>565</v>
      </c>
    </row>
    <row r="246" spans="1:7">
      <c r="A246" s="413"/>
      <c r="B246" s="416" t="s">
        <v>309</v>
      </c>
      <c r="C246" s="417" t="s">
        <v>312</v>
      </c>
      <c r="D246" s="418"/>
      <c r="E246" s="418"/>
      <c r="F246" s="418"/>
      <c r="G246" s="419"/>
    </row>
    <row r="247" spans="1:7">
      <c r="A247" s="420"/>
      <c r="B247" s="421" t="s">
        <v>156</v>
      </c>
      <c r="C247" s="422" t="s">
        <v>157</v>
      </c>
      <c r="D247" s="423" t="s">
        <v>13</v>
      </c>
      <c r="E247" s="424">
        <v>23915</v>
      </c>
      <c r="F247" s="423">
        <v>1.1000000000000001</v>
      </c>
      <c r="G247" s="424">
        <v>26307</v>
      </c>
    </row>
    <row r="248" spans="1:7">
      <c r="A248" s="413"/>
      <c r="B248" s="416" t="s">
        <v>309</v>
      </c>
      <c r="C248" s="417" t="s">
        <v>314</v>
      </c>
      <c r="D248" s="418"/>
      <c r="E248" s="418"/>
      <c r="F248" s="418"/>
      <c r="G248" s="419"/>
    </row>
    <row r="249" spans="1:7">
      <c r="A249" s="420"/>
      <c r="B249" s="425" t="s">
        <v>166</v>
      </c>
      <c r="C249" s="426" t="s">
        <v>177</v>
      </c>
      <c r="D249" s="427" t="s">
        <v>5</v>
      </c>
      <c r="E249" s="428">
        <v>512038</v>
      </c>
      <c r="F249" s="427">
        <v>1.2999999999999999E-2</v>
      </c>
      <c r="G249" s="428">
        <v>6656</v>
      </c>
    </row>
    <row r="251" spans="1:7" ht="39">
      <c r="A251" s="408">
        <v>19</v>
      </c>
      <c r="B251" s="409" t="s">
        <v>500</v>
      </c>
      <c r="C251" s="410" t="s">
        <v>501</v>
      </c>
      <c r="D251" s="411" t="s">
        <v>8</v>
      </c>
      <c r="E251" s="412"/>
      <c r="F251" s="394" t="s">
        <v>305</v>
      </c>
      <c r="G251" s="395">
        <v>147950</v>
      </c>
    </row>
    <row r="252" spans="1:7">
      <c r="A252" s="413"/>
      <c r="B252" s="414" t="s">
        <v>306</v>
      </c>
      <c r="C252" s="415" t="s">
        <v>9</v>
      </c>
      <c r="D252" s="415" t="s">
        <v>1</v>
      </c>
      <c r="E252" s="415" t="s">
        <v>307</v>
      </c>
      <c r="F252" s="415" t="s">
        <v>3</v>
      </c>
      <c r="G252" s="415" t="s">
        <v>308</v>
      </c>
    </row>
    <row r="253" spans="1:7">
      <c r="A253" s="413"/>
      <c r="B253" s="416" t="s">
        <v>309</v>
      </c>
      <c r="C253" s="417" t="s">
        <v>313</v>
      </c>
      <c r="D253" s="418"/>
      <c r="E253" s="418"/>
      <c r="F253" s="418"/>
      <c r="G253" s="419"/>
    </row>
    <row r="254" spans="1:7" ht="36.75">
      <c r="A254" s="420"/>
      <c r="B254" s="425" t="s">
        <v>502</v>
      </c>
      <c r="C254" s="426" t="s">
        <v>501</v>
      </c>
      <c r="D254" s="427" t="s">
        <v>8</v>
      </c>
      <c r="E254" s="428">
        <v>147950</v>
      </c>
      <c r="F254" s="427">
        <v>1</v>
      </c>
      <c r="G254" s="428">
        <v>147950</v>
      </c>
    </row>
    <row r="256" spans="1:7" ht="26.25">
      <c r="A256" s="408">
        <v>20</v>
      </c>
      <c r="B256" s="409" t="s">
        <v>503</v>
      </c>
      <c r="C256" s="410" t="s">
        <v>504</v>
      </c>
      <c r="D256" s="411" t="s">
        <v>6</v>
      </c>
      <c r="E256" s="412"/>
      <c r="F256" s="394" t="s">
        <v>305</v>
      </c>
      <c r="G256" s="395">
        <v>19172</v>
      </c>
    </row>
    <row r="257" spans="1:7">
      <c r="A257" s="413"/>
      <c r="B257" s="414" t="s">
        <v>306</v>
      </c>
      <c r="C257" s="415" t="s">
        <v>9</v>
      </c>
      <c r="D257" s="415" t="s">
        <v>1</v>
      </c>
      <c r="E257" s="415" t="s">
        <v>307</v>
      </c>
      <c r="F257" s="415" t="s">
        <v>3</v>
      </c>
      <c r="G257" s="415" t="s">
        <v>308</v>
      </c>
    </row>
    <row r="258" spans="1:7">
      <c r="A258" s="413"/>
      <c r="B258" s="416" t="s">
        <v>309</v>
      </c>
      <c r="C258" s="417" t="s">
        <v>313</v>
      </c>
      <c r="D258" s="418"/>
      <c r="E258" s="418"/>
      <c r="F258" s="418"/>
      <c r="G258" s="419"/>
    </row>
    <row r="259" spans="1:7">
      <c r="A259" s="420"/>
      <c r="B259" s="425" t="s">
        <v>151</v>
      </c>
      <c r="C259" s="426" t="s">
        <v>152</v>
      </c>
      <c r="D259" s="427" t="s">
        <v>6</v>
      </c>
      <c r="E259" s="428">
        <v>1733</v>
      </c>
      <c r="F259" s="427">
        <v>0.28999999999999998</v>
      </c>
      <c r="G259" s="428">
        <v>503</v>
      </c>
    </row>
    <row r="260" spans="1:7">
      <c r="A260" s="420"/>
      <c r="B260" s="425" t="s">
        <v>10</v>
      </c>
      <c r="C260" s="426" t="s">
        <v>505</v>
      </c>
      <c r="D260" s="427" t="s">
        <v>53</v>
      </c>
      <c r="E260" s="428">
        <v>4326</v>
      </c>
      <c r="F260" s="427">
        <v>0.25</v>
      </c>
      <c r="G260" s="428">
        <v>1082</v>
      </c>
    </row>
    <row r="261" spans="1:7">
      <c r="A261" s="420"/>
      <c r="B261" s="425" t="s">
        <v>506</v>
      </c>
      <c r="C261" s="426" t="s">
        <v>507</v>
      </c>
      <c r="D261" s="427" t="s">
        <v>6</v>
      </c>
      <c r="E261" s="428">
        <v>15917</v>
      </c>
      <c r="F261" s="427">
        <v>0.02</v>
      </c>
      <c r="G261" s="428">
        <v>318</v>
      </c>
    </row>
    <row r="262" spans="1:7">
      <c r="A262" s="420"/>
      <c r="B262" s="425" t="s">
        <v>508</v>
      </c>
      <c r="C262" s="426" t="s">
        <v>509</v>
      </c>
      <c r="D262" s="427" t="s">
        <v>6</v>
      </c>
      <c r="E262" s="428">
        <v>543506</v>
      </c>
      <c r="F262" s="427">
        <v>2E-3</v>
      </c>
      <c r="G262" s="428">
        <v>1087</v>
      </c>
    </row>
    <row r="263" spans="1:7">
      <c r="A263" s="420"/>
      <c r="B263" s="421" t="s">
        <v>510</v>
      </c>
      <c r="C263" s="422" t="s">
        <v>511</v>
      </c>
      <c r="D263" s="423" t="s">
        <v>53</v>
      </c>
      <c r="E263" s="424">
        <v>43013</v>
      </c>
      <c r="F263" s="423">
        <v>0.09</v>
      </c>
      <c r="G263" s="424">
        <v>3871</v>
      </c>
    </row>
    <row r="264" spans="1:7">
      <c r="A264" s="413"/>
      <c r="B264" s="416" t="s">
        <v>309</v>
      </c>
      <c r="C264" s="417" t="s">
        <v>310</v>
      </c>
      <c r="D264" s="418"/>
      <c r="E264" s="418"/>
      <c r="F264" s="418"/>
      <c r="G264" s="419"/>
    </row>
    <row r="265" spans="1:7">
      <c r="A265" s="420"/>
      <c r="B265" s="421" t="s">
        <v>10</v>
      </c>
      <c r="C265" s="422" t="s">
        <v>11</v>
      </c>
      <c r="D265" s="423" t="s">
        <v>6</v>
      </c>
      <c r="E265" s="424">
        <v>3311</v>
      </c>
      <c r="F265" s="423">
        <v>0.01</v>
      </c>
      <c r="G265" s="424">
        <v>33</v>
      </c>
    </row>
    <row r="266" spans="1:7">
      <c r="A266" s="413"/>
      <c r="B266" s="416" t="s">
        <v>309</v>
      </c>
      <c r="C266" s="417" t="s">
        <v>311</v>
      </c>
      <c r="D266" s="418"/>
      <c r="E266" s="418"/>
      <c r="F266" s="418"/>
      <c r="G266" s="419"/>
    </row>
    <row r="267" spans="1:7">
      <c r="A267" s="420"/>
      <c r="B267" s="425" t="s">
        <v>164</v>
      </c>
      <c r="C267" s="426" t="s">
        <v>165</v>
      </c>
      <c r="D267" s="427" t="s">
        <v>12</v>
      </c>
      <c r="E267" s="428">
        <v>171308</v>
      </c>
      <c r="F267" s="427">
        <v>1.1999999999999999E-3</v>
      </c>
      <c r="G267" s="428">
        <v>206</v>
      </c>
    </row>
    <row r="268" spans="1:7">
      <c r="A268" s="420"/>
      <c r="B268" s="421" t="s">
        <v>268</v>
      </c>
      <c r="C268" s="422" t="s">
        <v>269</v>
      </c>
      <c r="D268" s="423" t="s">
        <v>12</v>
      </c>
      <c r="E268" s="424">
        <v>18970</v>
      </c>
      <c r="F268" s="423">
        <v>0.2</v>
      </c>
      <c r="G268" s="424">
        <v>3794</v>
      </c>
    </row>
    <row r="269" spans="1:7">
      <c r="A269" s="413"/>
      <c r="B269" s="416" t="s">
        <v>309</v>
      </c>
      <c r="C269" s="417" t="s">
        <v>312</v>
      </c>
      <c r="D269" s="418"/>
      <c r="E269" s="418"/>
      <c r="F269" s="418"/>
      <c r="G269" s="419"/>
    </row>
    <row r="270" spans="1:7">
      <c r="A270" s="420"/>
      <c r="B270" s="425" t="s">
        <v>169</v>
      </c>
      <c r="C270" s="426" t="s">
        <v>170</v>
      </c>
      <c r="D270" s="427" t="s">
        <v>13</v>
      </c>
      <c r="E270" s="428">
        <v>33113</v>
      </c>
      <c r="F270" s="427">
        <v>0.25</v>
      </c>
      <c r="G270" s="428">
        <v>8278</v>
      </c>
    </row>
    <row r="272" spans="1:7" ht="26.25">
      <c r="A272" s="408">
        <v>21</v>
      </c>
      <c r="B272" s="409" t="s">
        <v>512</v>
      </c>
      <c r="C272" s="410" t="s">
        <v>513</v>
      </c>
      <c r="D272" s="411" t="s">
        <v>6</v>
      </c>
      <c r="E272" s="412"/>
      <c r="F272" s="394" t="s">
        <v>305</v>
      </c>
      <c r="G272" s="395">
        <v>15940</v>
      </c>
    </row>
    <row r="273" spans="1:7">
      <c r="A273" s="413"/>
      <c r="B273" s="414" t="s">
        <v>306</v>
      </c>
      <c r="C273" s="415" t="s">
        <v>9</v>
      </c>
      <c r="D273" s="415" t="s">
        <v>1</v>
      </c>
      <c r="E273" s="415" t="s">
        <v>307</v>
      </c>
      <c r="F273" s="415" t="s">
        <v>3</v>
      </c>
      <c r="G273" s="415" t="s">
        <v>308</v>
      </c>
    </row>
    <row r="274" spans="1:7">
      <c r="A274" s="413"/>
      <c r="B274" s="416" t="s">
        <v>309</v>
      </c>
      <c r="C274" s="417" t="s">
        <v>313</v>
      </c>
      <c r="D274" s="418"/>
      <c r="E274" s="418"/>
      <c r="F274" s="418"/>
      <c r="G274" s="419"/>
    </row>
    <row r="275" spans="1:7">
      <c r="A275" s="420"/>
      <c r="B275" s="425" t="s">
        <v>151</v>
      </c>
      <c r="C275" s="426" t="s">
        <v>152</v>
      </c>
      <c r="D275" s="427" t="s">
        <v>6</v>
      </c>
      <c r="E275" s="428">
        <v>1733</v>
      </c>
      <c r="F275" s="427">
        <v>0.28999999999999998</v>
      </c>
      <c r="G275" s="428">
        <v>503</v>
      </c>
    </row>
    <row r="276" spans="1:7">
      <c r="A276" s="420"/>
      <c r="B276" s="425" t="s">
        <v>508</v>
      </c>
      <c r="C276" s="426" t="s">
        <v>509</v>
      </c>
      <c r="D276" s="427" t="s">
        <v>6</v>
      </c>
      <c r="E276" s="428">
        <v>543506</v>
      </c>
      <c r="F276" s="427">
        <v>2E-3</v>
      </c>
      <c r="G276" s="428">
        <v>1087</v>
      </c>
    </row>
    <row r="277" spans="1:7">
      <c r="A277" s="420"/>
      <c r="B277" s="425" t="s">
        <v>510</v>
      </c>
      <c r="C277" s="426" t="s">
        <v>511</v>
      </c>
      <c r="D277" s="427" t="s">
        <v>53</v>
      </c>
      <c r="E277" s="428">
        <v>43013</v>
      </c>
      <c r="F277" s="427">
        <v>0.02</v>
      </c>
      <c r="G277" s="428">
        <v>860</v>
      </c>
    </row>
    <row r="278" spans="1:7">
      <c r="A278" s="420"/>
      <c r="B278" s="425" t="s">
        <v>514</v>
      </c>
      <c r="C278" s="426" t="s">
        <v>515</v>
      </c>
      <c r="D278" s="427" t="s">
        <v>6</v>
      </c>
      <c r="E278" s="428">
        <v>680367</v>
      </c>
      <c r="F278" s="427">
        <v>3.0000000000000001E-3</v>
      </c>
      <c r="G278" s="428">
        <v>2041</v>
      </c>
    </row>
    <row r="279" spans="1:7">
      <c r="A279" s="420"/>
      <c r="B279" s="421" t="s">
        <v>516</v>
      </c>
      <c r="C279" s="422" t="s">
        <v>517</v>
      </c>
      <c r="D279" s="423" t="s">
        <v>167</v>
      </c>
      <c r="E279" s="424">
        <v>5149</v>
      </c>
      <c r="F279" s="423">
        <v>0.15</v>
      </c>
      <c r="G279" s="424">
        <v>772</v>
      </c>
    </row>
    <row r="280" spans="1:7">
      <c r="A280" s="413"/>
      <c r="B280" s="416" t="s">
        <v>309</v>
      </c>
      <c r="C280" s="417" t="s">
        <v>310</v>
      </c>
      <c r="D280" s="418"/>
      <c r="E280" s="418"/>
      <c r="F280" s="418"/>
      <c r="G280" s="419"/>
    </row>
    <row r="281" spans="1:7">
      <c r="A281" s="420"/>
      <c r="B281" s="421" t="s">
        <v>10</v>
      </c>
      <c r="C281" s="422" t="s">
        <v>11</v>
      </c>
      <c r="D281" s="423" t="s">
        <v>6</v>
      </c>
      <c r="E281" s="424">
        <v>3311</v>
      </c>
      <c r="F281" s="423">
        <v>0.01</v>
      </c>
      <c r="G281" s="424">
        <v>33</v>
      </c>
    </row>
    <row r="282" spans="1:7">
      <c r="A282" s="413"/>
      <c r="B282" s="416" t="s">
        <v>309</v>
      </c>
      <c r="C282" s="417" t="s">
        <v>311</v>
      </c>
      <c r="D282" s="418"/>
      <c r="E282" s="418"/>
      <c r="F282" s="418"/>
      <c r="G282" s="419"/>
    </row>
    <row r="283" spans="1:7">
      <c r="A283" s="420"/>
      <c r="B283" s="425" t="s">
        <v>164</v>
      </c>
      <c r="C283" s="426" t="s">
        <v>165</v>
      </c>
      <c r="D283" s="427" t="s">
        <v>12</v>
      </c>
      <c r="E283" s="428">
        <v>171308</v>
      </c>
      <c r="F283" s="427">
        <v>8.9999999999999998E-4</v>
      </c>
      <c r="G283" s="428">
        <v>154</v>
      </c>
    </row>
    <row r="284" spans="1:7">
      <c r="A284" s="420"/>
      <c r="B284" s="421" t="s">
        <v>268</v>
      </c>
      <c r="C284" s="422" t="s">
        <v>269</v>
      </c>
      <c r="D284" s="423" t="s">
        <v>12</v>
      </c>
      <c r="E284" s="424">
        <v>18970</v>
      </c>
      <c r="F284" s="423">
        <v>0.2</v>
      </c>
      <c r="G284" s="424">
        <v>3794</v>
      </c>
    </row>
    <row r="285" spans="1:7">
      <c r="A285" s="413"/>
      <c r="B285" s="416" t="s">
        <v>309</v>
      </c>
      <c r="C285" s="417" t="s">
        <v>312</v>
      </c>
      <c r="D285" s="418"/>
      <c r="E285" s="418"/>
      <c r="F285" s="418"/>
      <c r="G285" s="419"/>
    </row>
    <row r="286" spans="1:7">
      <c r="A286" s="420"/>
      <c r="B286" s="425" t="s">
        <v>156</v>
      </c>
      <c r="C286" s="426" t="s">
        <v>157</v>
      </c>
      <c r="D286" s="427" t="s">
        <v>13</v>
      </c>
      <c r="E286" s="428">
        <v>23915</v>
      </c>
      <c r="F286" s="427">
        <v>0.28000000000000003</v>
      </c>
      <c r="G286" s="428">
        <v>6696</v>
      </c>
    </row>
    <row r="288" spans="1:7" ht="26.25">
      <c r="A288" s="408">
        <v>22</v>
      </c>
      <c r="B288" s="409" t="s">
        <v>356</v>
      </c>
      <c r="C288" s="410" t="s">
        <v>357</v>
      </c>
      <c r="D288" s="411" t="s">
        <v>6</v>
      </c>
      <c r="E288" s="412"/>
      <c r="F288" s="394" t="s">
        <v>305</v>
      </c>
      <c r="G288" s="395">
        <v>149057</v>
      </c>
    </row>
    <row r="289" spans="1:7">
      <c r="A289" s="413"/>
      <c r="B289" s="414" t="s">
        <v>306</v>
      </c>
      <c r="C289" s="415" t="s">
        <v>9</v>
      </c>
      <c r="D289" s="415" t="s">
        <v>1</v>
      </c>
      <c r="E289" s="415" t="s">
        <v>307</v>
      </c>
      <c r="F289" s="415" t="s">
        <v>3</v>
      </c>
      <c r="G289" s="415" t="s">
        <v>308</v>
      </c>
    </row>
    <row r="290" spans="1:7">
      <c r="A290" s="413"/>
      <c r="B290" s="416" t="s">
        <v>309</v>
      </c>
      <c r="C290" s="417" t="s">
        <v>313</v>
      </c>
      <c r="D290" s="418"/>
      <c r="E290" s="418"/>
      <c r="F290" s="418"/>
      <c r="G290" s="419"/>
    </row>
    <row r="291" spans="1:7">
      <c r="A291" s="420"/>
      <c r="B291" s="425" t="s">
        <v>151</v>
      </c>
      <c r="C291" s="426" t="s">
        <v>152</v>
      </c>
      <c r="D291" s="427" t="s">
        <v>6</v>
      </c>
      <c r="E291" s="428">
        <v>1733</v>
      </c>
      <c r="F291" s="427">
        <v>2.6</v>
      </c>
      <c r="G291" s="428">
        <v>4506</v>
      </c>
    </row>
    <row r="292" spans="1:7">
      <c r="A292" s="420"/>
      <c r="B292" s="425" t="s">
        <v>358</v>
      </c>
      <c r="C292" s="426" t="s">
        <v>359</v>
      </c>
      <c r="D292" s="427" t="s">
        <v>6</v>
      </c>
      <c r="E292" s="428">
        <v>71690</v>
      </c>
      <c r="F292" s="427">
        <v>1</v>
      </c>
      <c r="G292" s="428">
        <v>71690</v>
      </c>
    </row>
    <row r="293" spans="1:7">
      <c r="A293" s="420"/>
      <c r="B293" s="425" t="s">
        <v>360</v>
      </c>
      <c r="C293" s="426" t="s">
        <v>361</v>
      </c>
      <c r="D293" s="427" t="s">
        <v>6</v>
      </c>
      <c r="E293" s="428">
        <v>1215</v>
      </c>
      <c r="F293" s="427">
        <v>0.05</v>
      </c>
      <c r="G293" s="428">
        <v>61</v>
      </c>
    </row>
    <row r="294" spans="1:7">
      <c r="A294" s="420"/>
      <c r="B294" s="421" t="s">
        <v>362</v>
      </c>
      <c r="C294" s="422" t="s">
        <v>363</v>
      </c>
      <c r="D294" s="423" t="s">
        <v>6</v>
      </c>
      <c r="E294" s="424">
        <v>9991</v>
      </c>
      <c r="F294" s="423">
        <v>1</v>
      </c>
      <c r="G294" s="424">
        <v>9991</v>
      </c>
    </row>
    <row r="295" spans="1:7">
      <c r="A295" s="413"/>
      <c r="B295" s="416" t="s">
        <v>309</v>
      </c>
      <c r="C295" s="417" t="s">
        <v>310</v>
      </c>
      <c r="D295" s="418"/>
      <c r="E295" s="418"/>
      <c r="F295" s="418"/>
      <c r="G295" s="419"/>
    </row>
    <row r="296" spans="1:7">
      <c r="A296" s="420"/>
      <c r="B296" s="421" t="s">
        <v>10</v>
      </c>
      <c r="C296" s="422" t="s">
        <v>11</v>
      </c>
      <c r="D296" s="423" t="s">
        <v>6</v>
      </c>
      <c r="E296" s="424">
        <v>3311</v>
      </c>
      <c r="F296" s="423">
        <v>0.15</v>
      </c>
      <c r="G296" s="424">
        <v>497</v>
      </c>
    </row>
    <row r="297" spans="1:7">
      <c r="A297" s="413"/>
      <c r="B297" s="416" t="s">
        <v>309</v>
      </c>
      <c r="C297" s="417" t="s">
        <v>311</v>
      </c>
      <c r="D297" s="418"/>
      <c r="E297" s="418"/>
      <c r="F297" s="418"/>
      <c r="G297" s="419"/>
    </row>
    <row r="298" spans="1:7">
      <c r="A298" s="420"/>
      <c r="B298" s="421" t="s">
        <v>164</v>
      </c>
      <c r="C298" s="422" t="s">
        <v>165</v>
      </c>
      <c r="D298" s="423" t="s">
        <v>12</v>
      </c>
      <c r="E298" s="424">
        <v>171308</v>
      </c>
      <c r="F298" s="423">
        <v>1.52E-2</v>
      </c>
      <c r="G298" s="424">
        <v>2604</v>
      </c>
    </row>
    <row r="299" spans="1:7">
      <c r="A299" s="413"/>
      <c r="B299" s="416" t="s">
        <v>309</v>
      </c>
      <c r="C299" s="417" t="s">
        <v>312</v>
      </c>
      <c r="D299" s="418"/>
      <c r="E299" s="418"/>
      <c r="F299" s="418"/>
      <c r="G299" s="419"/>
    </row>
    <row r="300" spans="1:7">
      <c r="A300" s="420"/>
      <c r="B300" s="425" t="s">
        <v>10</v>
      </c>
      <c r="C300" s="426" t="s">
        <v>199</v>
      </c>
      <c r="D300" s="427" t="s">
        <v>13</v>
      </c>
      <c r="E300" s="428">
        <v>26303</v>
      </c>
      <c r="F300" s="427">
        <v>2.27</v>
      </c>
      <c r="G300" s="428">
        <v>59708</v>
      </c>
    </row>
    <row r="302" spans="1:7" ht="26.25">
      <c r="A302" s="408">
        <v>23</v>
      </c>
      <c r="B302" s="409" t="s">
        <v>179</v>
      </c>
      <c r="C302" s="410" t="s">
        <v>180</v>
      </c>
      <c r="D302" s="411" t="s">
        <v>6</v>
      </c>
      <c r="E302" s="412"/>
      <c r="F302" s="394" t="s">
        <v>305</v>
      </c>
      <c r="G302" s="395">
        <v>85648</v>
      </c>
    </row>
    <row r="303" spans="1:7">
      <c r="A303" s="413"/>
      <c r="B303" s="414" t="s">
        <v>306</v>
      </c>
      <c r="C303" s="415" t="s">
        <v>9</v>
      </c>
      <c r="D303" s="415" t="s">
        <v>1</v>
      </c>
      <c r="E303" s="415" t="s">
        <v>307</v>
      </c>
      <c r="F303" s="415" t="s">
        <v>3</v>
      </c>
      <c r="G303" s="415" t="s">
        <v>308</v>
      </c>
    </row>
    <row r="304" spans="1:7">
      <c r="A304" s="413"/>
      <c r="B304" s="416" t="s">
        <v>309</v>
      </c>
      <c r="C304" s="417" t="s">
        <v>313</v>
      </c>
      <c r="D304" s="418"/>
      <c r="E304" s="418"/>
      <c r="F304" s="418"/>
      <c r="G304" s="419"/>
    </row>
    <row r="305" spans="1:7">
      <c r="A305" s="420"/>
      <c r="B305" s="425" t="s">
        <v>151</v>
      </c>
      <c r="C305" s="426" t="s">
        <v>152</v>
      </c>
      <c r="D305" s="427" t="s">
        <v>6</v>
      </c>
      <c r="E305" s="428">
        <v>1733</v>
      </c>
      <c r="F305" s="427">
        <v>2.6</v>
      </c>
      <c r="G305" s="428">
        <v>4506</v>
      </c>
    </row>
    <row r="306" spans="1:7">
      <c r="A306" s="420"/>
      <c r="B306" s="425" t="s">
        <v>200</v>
      </c>
      <c r="C306" s="426" t="s">
        <v>203</v>
      </c>
      <c r="D306" s="427" t="s">
        <v>6</v>
      </c>
      <c r="E306" s="428">
        <v>1736</v>
      </c>
      <c r="F306" s="427">
        <v>3</v>
      </c>
      <c r="G306" s="428">
        <v>5208</v>
      </c>
    </row>
    <row r="307" spans="1:7">
      <c r="A307" s="420"/>
      <c r="B307" s="425" t="s">
        <v>193</v>
      </c>
      <c r="C307" s="426" t="s">
        <v>196</v>
      </c>
      <c r="D307" s="427" t="s">
        <v>6</v>
      </c>
      <c r="E307" s="428">
        <v>59308</v>
      </c>
      <c r="F307" s="427">
        <v>0.05</v>
      </c>
      <c r="G307" s="428">
        <v>2965</v>
      </c>
    </row>
    <row r="308" spans="1:7">
      <c r="A308" s="420"/>
      <c r="B308" s="425" t="s">
        <v>194</v>
      </c>
      <c r="C308" s="426" t="s">
        <v>197</v>
      </c>
      <c r="D308" s="427" t="s">
        <v>6</v>
      </c>
      <c r="E308" s="428">
        <v>122942</v>
      </c>
      <c r="F308" s="427">
        <v>0.03</v>
      </c>
      <c r="G308" s="428">
        <v>3688</v>
      </c>
    </row>
    <row r="309" spans="1:7">
      <c r="A309" s="420"/>
      <c r="B309" s="425" t="s">
        <v>201</v>
      </c>
      <c r="C309" s="426" t="s">
        <v>204</v>
      </c>
      <c r="D309" s="427" t="s">
        <v>6</v>
      </c>
      <c r="E309" s="428">
        <v>1040</v>
      </c>
      <c r="F309" s="427">
        <v>1</v>
      </c>
      <c r="G309" s="428">
        <v>1040</v>
      </c>
    </row>
    <row r="310" spans="1:7">
      <c r="A310" s="420"/>
      <c r="B310" s="421" t="s">
        <v>202</v>
      </c>
      <c r="C310" s="422" t="s">
        <v>205</v>
      </c>
      <c r="D310" s="423" t="s">
        <v>167</v>
      </c>
      <c r="E310" s="424">
        <v>4764</v>
      </c>
      <c r="F310" s="423">
        <v>1.5</v>
      </c>
      <c r="G310" s="424">
        <v>7146</v>
      </c>
    </row>
    <row r="311" spans="1:7">
      <c r="A311" s="413"/>
      <c r="B311" s="416" t="s">
        <v>309</v>
      </c>
      <c r="C311" s="417" t="s">
        <v>310</v>
      </c>
      <c r="D311" s="418"/>
      <c r="E311" s="418"/>
      <c r="F311" s="418"/>
      <c r="G311" s="419"/>
    </row>
    <row r="312" spans="1:7">
      <c r="A312" s="420"/>
      <c r="B312" s="421" t="s">
        <v>10</v>
      </c>
      <c r="C312" s="422" t="s">
        <v>11</v>
      </c>
      <c r="D312" s="423" t="s">
        <v>6</v>
      </c>
      <c r="E312" s="424">
        <v>3311</v>
      </c>
      <c r="F312" s="423">
        <v>0.3</v>
      </c>
      <c r="G312" s="424">
        <v>993</v>
      </c>
    </row>
    <row r="313" spans="1:7">
      <c r="A313" s="413"/>
      <c r="B313" s="416" t="s">
        <v>309</v>
      </c>
      <c r="C313" s="417" t="s">
        <v>311</v>
      </c>
      <c r="D313" s="418"/>
      <c r="E313" s="418"/>
      <c r="F313" s="418"/>
      <c r="G313" s="419"/>
    </row>
    <row r="314" spans="1:7">
      <c r="A314" s="420"/>
      <c r="B314" s="421" t="s">
        <v>164</v>
      </c>
      <c r="C314" s="422" t="s">
        <v>165</v>
      </c>
      <c r="D314" s="423" t="s">
        <v>12</v>
      </c>
      <c r="E314" s="424">
        <v>171308</v>
      </c>
      <c r="F314" s="423">
        <v>2.3E-3</v>
      </c>
      <c r="G314" s="424">
        <v>394</v>
      </c>
    </row>
    <row r="315" spans="1:7">
      <c r="A315" s="413"/>
      <c r="B315" s="416" t="s">
        <v>309</v>
      </c>
      <c r="C315" s="417" t="s">
        <v>312</v>
      </c>
      <c r="D315" s="418"/>
      <c r="E315" s="418"/>
      <c r="F315" s="418"/>
      <c r="G315" s="419"/>
    </row>
    <row r="316" spans="1:7">
      <c r="A316" s="420"/>
      <c r="B316" s="425" t="s">
        <v>10</v>
      </c>
      <c r="C316" s="426" t="s">
        <v>199</v>
      </c>
      <c r="D316" s="427" t="s">
        <v>13</v>
      </c>
      <c r="E316" s="428">
        <v>26303</v>
      </c>
      <c r="F316" s="427">
        <v>2.27</v>
      </c>
      <c r="G316" s="428">
        <v>59708</v>
      </c>
    </row>
    <row r="318" spans="1:7" ht="26.25">
      <c r="A318" s="408">
        <v>24</v>
      </c>
      <c r="B318" s="409" t="s">
        <v>315</v>
      </c>
      <c r="C318" s="410" t="s">
        <v>316</v>
      </c>
      <c r="D318" s="411" t="s">
        <v>7</v>
      </c>
      <c r="E318" s="412"/>
      <c r="F318" s="394" t="s">
        <v>305</v>
      </c>
      <c r="G318" s="395">
        <v>18909</v>
      </c>
    </row>
    <row r="319" spans="1:7">
      <c r="A319" s="413"/>
      <c r="B319" s="414" t="s">
        <v>306</v>
      </c>
      <c r="C319" s="415" t="s">
        <v>9</v>
      </c>
      <c r="D319" s="415" t="s">
        <v>1</v>
      </c>
      <c r="E319" s="415" t="s">
        <v>307</v>
      </c>
      <c r="F319" s="415" t="s">
        <v>3</v>
      </c>
      <c r="G319" s="415" t="s">
        <v>308</v>
      </c>
    </row>
    <row r="320" spans="1:7">
      <c r="A320" s="413"/>
      <c r="B320" s="416" t="s">
        <v>309</v>
      </c>
      <c r="C320" s="417" t="s">
        <v>313</v>
      </c>
      <c r="D320" s="418"/>
      <c r="E320" s="418"/>
      <c r="F320" s="418"/>
      <c r="G320" s="419"/>
    </row>
    <row r="321" spans="1:7">
      <c r="A321" s="420"/>
      <c r="B321" s="425" t="s">
        <v>151</v>
      </c>
      <c r="C321" s="426" t="s">
        <v>152</v>
      </c>
      <c r="D321" s="427" t="s">
        <v>6</v>
      </c>
      <c r="E321" s="428">
        <v>1733</v>
      </c>
      <c r="F321" s="427">
        <v>0.38</v>
      </c>
      <c r="G321" s="428">
        <v>659</v>
      </c>
    </row>
    <row r="322" spans="1:7">
      <c r="A322" s="420"/>
      <c r="B322" s="425" t="s">
        <v>317</v>
      </c>
      <c r="C322" s="426" t="s">
        <v>318</v>
      </c>
      <c r="D322" s="427" t="s">
        <v>6</v>
      </c>
      <c r="E322" s="428">
        <v>2960</v>
      </c>
      <c r="F322" s="427">
        <v>0.16700000000000001</v>
      </c>
      <c r="G322" s="428">
        <v>494</v>
      </c>
    </row>
    <row r="323" spans="1:7">
      <c r="A323" s="420"/>
      <c r="B323" s="425" t="s">
        <v>193</v>
      </c>
      <c r="C323" s="426" t="s">
        <v>196</v>
      </c>
      <c r="D323" s="427" t="s">
        <v>6</v>
      </c>
      <c r="E323" s="428">
        <v>59308</v>
      </c>
      <c r="F323" s="427">
        <v>0.02</v>
      </c>
      <c r="G323" s="428">
        <v>1186</v>
      </c>
    </row>
    <row r="324" spans="1:7">
      <c r="A324" s="420"/>
      <c r="B324" s="425" t="s">
        <v>194</v>
      </c>
      <c r="C324" s="426" t="s">
        <v>197</v>
      </c>
      <c r="D324" s="427" t="s">
        <v>6</v>
      </c>
      <c r="E324" s="428">
        <v>122942</v>
      </c>
      <c r="F324" s="427">
        <v>0.02</v>
      </c>
      <c r="G324" s="428">
        <v>2459</v>
      </c>
    </row>
    <row r="325" spans="1:7">
      <c r="A325" s="420"/>
      <c r="B325" s="421" t="s">
        <v>319</v>
      </c>
      <c r="C325" s="422" t="s">
        <v>320</v>
      </c>
      <c r="D325" s="423" t="s">
        <v>167</v>
      </c>
      <c r="E325" s="424">
        <v>4209</v>
      </c>
      <c r="F325" s="423">
        <v>1.03</v>
      </c>
      <c r="G325" s="424">
        <v>4335</v>
      </c>
    </row>
    <row r="326" spans="1:7">
      <c r="A326" s="413"/>
      <c r="B326" s="416" t="s">
        <v>309</v>
      </c>
      <c r="C326" s="417" t="s">
        <v>310</v>
      </c>
      <c r="D326" s="418"/>
      <c r="E326" s="418"/>
      <c r="F326" s="418"/>
      <c r="G326" s="419"/>
    </row>
    <row r="327" spans="1:7">
      <c r="A327" s="420"/>
      <c r="B327" s="421" t="s">
        <v>10</v>
      </c>
      <c r="C327" s="422" t="s">
        <v>11</v>
      </c>
      <c r="D327" s="423" t="s">
        <v>6</v>
      </c>
      <c r="E327" s="424">
        <v>3311</v>
      </c>
      <c r="F327" s="423">
        <v>0.2</v>
      </c>
      <c r="G327" s="424">
        <v>662</v>
      </c>
    </row>
    <row r="328" spans="1:7">
      <c r="A328" s="413"/>
      <c r="B328" s="416" t="s">
        <v>309</v>
      </c>
      <c r="C328" s="417" t="s">
        <v>311</v>
      </c>
      <c r="D328" s="418"/>
      <c r="E328" s="418"/>
      <c r="F328" s="418"/>
      <c r="G328" s="419"/>
    </row>
    <row r="329" spans="1:7">
      <c r="A329" s="420"/>
      <c r="B329" s="421" t="s">
        <v>164</v>
      </c>
      <c r="C329" s="422" t="s">
        <v>165</v>
      </c>
      <c r="D329" s="423" t="s">
        <v>12</v>
      </c>
      <c r="E329" s="424">
        <v>171308</v>
      </c>
      <c r="F329" s="423">
        <v>1E-3</v>
      </c>
      <c r="G329" s="424">
        <v>171</v>
      </c>
    </row>
    <row r="330" spans="1:7">
      <c r="A330" s="413"/>
      <c r="B330" s="416" t="s">
        <v>309</v>
      </c>
      <c r="C330" s="417" t="s">
        <v>312</v>
      </c>
      <c r="D330" s="418"/>
      <c r="E330" s="418"/>
      <c r="F330" s="418"/>
      <c r="G330" s="419"/>
    </row>
    <row r="331" spans="1:7">
      <c r="A331" s="420"/>
      <c r="B331" s="425" t="s">
        <v>10</v>
      </c>
      <c r="C331" s="426" t="s">
        <v>199</v>
      </c>
      <c r="D331" s="427" t="s">
        <v>13</v>
      </c>
      <c r="E331" s="428">
        <v>26303</v>
      </c>
      <c r="F331" s="427">
        <v>0.34</v>
      </c>
      <c r="G331" s="428">
        <v>8943</v>
      </c>
    </row>
    <row r="333" spans="1:7" ht="26.25">
      <c r="A333" s="408">
        <v>25</v>
      </c>
      <c r="B333" s="409" t="s">
        <v>321</v>
      </c>
      <c r="C333" s="410" t="s">
        <v>322</v>
      </c>
      <c r="D333" s="411" t="s">
        <v>7</v>
      </c>
      <c r="E333" s="412"/>
      <c r="F333" s="394" t="s">
        <v>305</v>
      </c>
      <c r="G333" s="395">
        <v>21102</v>
      </c>
    </row>
    <row r="334" spans="1:7">
      <c r="A334" s="413"/>
      <c r="B334" s="414" t="s">
        <v>306</v>
      </c>
      <c r="C334" s="415" t="s">
        <v>9</v>
      </c>
      <c r="D334" s="415" t="s">
        <v>1</v>
      </c>
      <c r="E334" s="415" t="s">
        <v>307</v>
      </c>
      <c r="F334" s="415" t="s">
        <v>3</v>
      </c>
      <c r="G334" s="415" t="s">
        <v>308</v>
      </c>
    </row>
    <row r="335" spans="1:7">
      <c r="A335" s="413"/>
      <c r="B335" s="416" t="s">
        <v>309</v>
      </c>
      <c r="C335" s="417" t="s">
        <v>313</v>
      </c>
      <c r="D335" s="418"/>
      <c r="E335" s="418"/>
      <c r="F335" s="418"/>
      <c r="G335" s="419"/>
    </row>
    <row r="336" spans="1:7">
      <c r="A336" s="420"/>
      <c r="B336" s="425" t="s">
        <v>151</v>
      </c>
      <c r="C336" s="426" t="s">
        <v>152</v>
      </c>
      <c r="D336" s="427" t="s">
        <v>6</v>
      </c>
      <c r="E336" s="428">
        <v>1733</v>
      </c>
      <c r="F336" s="427">
        <v>0.39</v>
      </c>
      <c r="G336" s="428">
        <v>676</v>
      </c>
    </row>
    <row r="337" spans="1:7">
      <c r="A337" s="420"/>
      <c r="B337" s="425" t="s">
        <v>323</v>
      </c>
      <c r="C337" s="426" t="s">
        <v>324</v>
      </c>
      <c r="D337" s="427" t="s">
        <v>6</v>
      </c>
      <c r="E337" s="428">
        <v>5284</v>
      </c>
      <c r="F337" s="427">
        <v>0.16700000000000001</v>
      </c>
      <c r="G337" s="428">
        <v>882</v>
      </c>
    </row>
    <row r="338" spans="1:7">
      <c r="A338" s="420"/>
      <c r="B338" s="425" t="s">
        <v>193</v>
      </c>
      <c r="C338" s="426" t="s">
        <v>196</v>
      </c>
      <c r="D338" s="427" t="s">
        <v>6</v>
      </c>
      <c r="E338" s="428">
        <v>59308</v>
      </c>
      <c r="F338" s="427">
        <v>0.02</v>
      </c>
      <c r="G338" s="428">
        <v>1186</v>
      </c>
    </row>
    <row r="339" spans="1:7">
      <c r="A339" s="420"/>
      <c r="B339" s="425" t="s">
        <v>194</v>
      </c>
      <c r="C339" s="426" t="s">
        <v>197</v>
      </c>
      <c r="D339" s="427" t="s">
        <v>6</v>
      </c>
      <c r="E339" s="428">
        <v>122942</v>
      </c>
      <c r="F339" s="427">
        <v>0.02</v>
      </c>
      <c r="G339" s="428">
        <v>2459</v>
      </c>
    </row>
    <row r="340" spans="1:7">
      <c r="A340" s="420"/>
      <c r="B340" s="421" t="s">
        <v>325</v>
      </c>
      <c r="C340" s="422" t="s">
        <v>326</v>
      </c>
      <c r="D340" s="423" t="s">
        <v>167</v>
      </c>
      <c r="E340" s="424">
        <v>5911</v>
      </c>
      <c r="F340" s="423">
        <v>1.03</v>
      </c>
      <c r="G340" s="424">
        <v>6088</v>
      </c>
    </row>
    <row r="341" spans="1:7">
      <c r="A341" s="413"/>
      <c r="B341" s="416" t="s">
        <v>309</v>
      </c>
      <c r="C341" s="417" t="s">
        <v>310</v>
      </c>
      <c r="D341" s="418"/>
      <c r="E341" s="418"/>
      <c r="F341" s="418"/>
      <c r="G341" s="419"/>
    </row>
    <row r="342" spans="1:7">
      <c r="A342" s="420"/>
      <c r="B342" s="421" t="s">
        <v>10</v>
      </c>
      <c r="C342" s="422" t="s">
        <v>11</v>
      </c>
      <c r="D342" s="423" t="s">
        <v>6</v>
      </c>
      <c r="E342" s="424">
        <v>3311</v>
      </c>
      <c r="F342" s="423">
        <v>0.2</v>
      </c>
      <c r="G342" s="424">
        <v>662</v>
      </c>
    </row>
    <row r="343" spans="1:7">
      <c r="A343" s="413"/>
      <c r="B343" s="416" t="s">
        <v>309</v>
      </c>
      <c r="C343" s="417" t="s">
        <v>311</v>
      </c>
      <c r="D343" s="418"/>
      <c r="E343" s="418"/>
      <c r="F343" s="418"/>
      <c r="G343" s="419"/>
    </row>
    <row r="344" spans="1:7">
      <c r="A344" s="420"/>
      <c r="B344" s="421" t="s">
        <v>164</v>
      </c>
      <c r="C344" s="422" t="s">
        <v>165</v>
      </c>
      <c r="D344" s="423" t="s">
        <v>12</v>
      </c>
      <c r="E344" s="424">
        <v>171308</v>
      </c>
      <c r="F344" s="423">
        <v>1.1999999999999999E-3</v>
      </c>
      <c r="G344" s="424">
        <v>206</v>
      </c>
    </row>
    <row r="345" spans="1:7">
      <c r="A345" s="413"/>
      <c r="B345" s="416" t="s">
        <v>309</v>
      </c>
      <c r="C345" s="417" t="s">
        <v>312</v>
      </c>
      <c r="D345" s="418"/>
      <c r="E345" s="418"/>
      <c r="F345" s="418"/>
      <c r="G345" s="419"/>
    </row>
    <row r="346" spans="1:7">
      <c r="A346" s="420"/>
      <c r="B346" s="425" t="s">
        <v>10</v>
      </c>
      <c r="C346" s="426" t="s">
        <v>199</v>
      </c>
      <c r="D346" s="427" t="s">
        <v>13</v>
      </c>
      <c r="E346" s="428">
        <v>26303</v>
      </c>
      <c r="F346" s="427">
        <v>0.34</v>
      </c>
      <c r="G346" s="428">
        <v>8943</v>
      </c>
    </row>
    <row r="348" spans="1:7" ht="39">
      <c r="A348" s="408">
        <v>26</v>
      </c>
      <c r="B348" s="409" t="s">
        <v>518</v>
      </c>
      <c r="C348" s="410" t="s">
        <v>519</v>
      </c>
      <c r="D348" s="411" t="s">
        <v>6</v>
      </c>
      <c r="E348" s="412"/>
      <c r="F348" s="394" t="s">
        <v>305</v>
      </c>
      <c r="G348" s="395">
        <v>464593</v>
      </c>
    </row>
    <row r="349" spans="1:7">
      <c r="A349" s="413"/>
      <c r="B349" s="414" t="s">
        <v>306</v>
      </c>
      <c r="C349" s="415" t="s">
        <v>9</v>
      </c>
      <c r="D349" s="415" t="s">
        <v>1</v>
      </c>
      <c r="E349" s="415" t="s">
        <v>307</v>
      </c>
      <c r="F349" s="415" t="s">
        <v>3</v>
      </c>
      <c r="G349" s="415" t="s">
        <v>308</v>
      </c>
    </row>
    <row r="350" spans="1:7">
      <c r="A350" s="413"/>
      <c r="B350" s="416" t="s">
        <v>309</v>
      </c>
      <c r="C350" s="417" t="s">
        <v>313</v>
      </c>
      <c r="D350" s="418"/>
      <c r="E350" s="418"/>
      <c r="F350" s="418"/>
      <c r="G350" s="419"/>
    </row>
    <row r="351" spans="1:7">
      <c r="A351" s="420"/>
      <c r="B351" s="425" t="s">
        <v>151</v>
      </c>
      <c r="C351" s="426" t="s">
        <v>152</v>
      </c>
      <c r="D351" s="427" t="s">
        <v>6</v>
      </c>
      <c r="E351" s="428">
        <v>1733</v>
      </c>
      <c r="F351" s="427">
        <v>1.3</v>
      </c>
      <c r="G351" s="428">
        <v>2253</v>
      </c>
    </row>
    <row r="352" spans="1:7" ht="24.75">
      <c r="A352" s="420"/>
      <c r="B352" s="425" t="s">
        <v>520</v>
      </c>
      <c r="C352" s="426" t="s">
        <v>521</v>
      </c>
      <c r="D352" s="427" t="s">
        <v>6</v>
      </c>
      <c r="E352" s="428">
        <v>262719</v>
      </c>
      <c r="F352" s="427">
        <v>1</v>
      </c>
      <c r="G352" s="428">
        <v>262719</v>
      </c>
    </row>
    <row r="353" spans="1:7">
      <c r="A353" s="420"/>
      <c r="B353" s="421" t="s">
        <v>522</v>
      </c>
      <c r="C353" s="422" t="s">
        <v>523</v>
      </c>
      <c r="D353" s="423" t="s">
        <v>524</v>
      </c>
      <c r="E353" s="424">
        <v>159190</v>
      </c>
      <c r="F353" s="423">
        <v>1</v>
      </c>
      <c r="G353" s="424">
        <v>159190</v>
      </c>
    </row>
    <row r="354" spans="1:7">
      <c r="A354" s="413"/>
      <c r="B354" s="416" t="s">
        <v>309</v>
      </c>
      <c r="C354" s="417" t="s">
        <v>310</v>
      </c>
      <c r="D354" s="418"/>
      <c r="E354" s="418"/>
      <c r="F354" s="418"/>
      <c r="G354" s="419"/>
    </row>
    <row r="355" spans="1:7">
      <c r="A355" s="420"/>
      <c r="B355" s="421" t="s">
        <v>10</v>
      </c>
      <c r="C355" s="422" t="s">
        <v>11</v>
      </c>
      <c r="D355" s="423" t="s">
        <v>6</v>
      </c>
      <c r="E355" s="424">
        <v>3311</v>
      </c>
      <c r="F355" s="423">
        <v>0.1</v>
      </c>
      <c r="G355" s="424">
        <v>331</v>
      </c>
    </row>
    <row r="356" spans="1:7">
      <c r="A356" s="413"/>
      <c r="B356" s="416" t="s">
        <v>309</v>
      </c>
      <c r="C356" s="417" t="s">
        <v>311</v>
      </c>
      <c r="D356" s="418"/>
      <c r="E356" s="418"/>
      <c r="F356" s="418"/>
      <c r="G356" s="419"/>
    </row>
    <row r="357" spans="1:7">
      <c r="A357" s="420"/>
      <c r="B357" s="421" t="s">
        <v>164</v>
      </c>
      <c r="C357" s="422" t="s">
        <v>165</v>
      </c>
      <c r="D357" s="423" t="s">
        <v>12</v>
      </c>
      <c r="E357" s="424">
        <v>171308</v>
      </c>
      <c r="F357" s="423">
        <v>5.2900000000000003E-2</v>
      </c>
      <c r="G357" s="424">
        <v>9062</v>
      </c>
    </row>
    <row r="358" spans="1:7">
      <c r="A358" s="413"/>
      <c r="B358" s="416" t="s">
        <v>309</v>
      </c>
      <c r="C358" s="417" t="s">
        <v>312</v>
      </c>
      <c r="D358" s="418"/>
      <c r="E358" s="418"/>
      <c r="F358" s="418"/>
      <c r="G358" s="419"/>
    </row>
    <row r="359" spans="1:7">
      <c r="A359" s="420"/>
      <c r="B359" s="425" t="s">
        <v>10</v>
      </c>
      <c r="C359" s="426" t="s">
        <v>199</v>
      </c>
      <c r="D359" s="427" t="s">
        <v>13</v>
      </c>
      <c r="E359" s="428">
        <v>26303</v>
      </c>
      <c r="F359" s="427">
        <v>1.18</v>
      </c>
      <c r="G359" s="428">
        <v>31038</v>
      </c>
    </row>
    <row r="361" spans="1:7" ht="39">
      <c r="A361" s="408">
        <v>27</v>
      </c>
      <c r="B361" s="409" t="s">
        <v>364</v>
      </c>
      <c r="C361" s="410" t="s">
        <v>365</v>
      </c>
      <c r="D361" s="411" t="s">
        <v>8</v>
      </c>
      <c r="E361" s="412"/>
      <c r="F361" s="394" t="s">
        <v>305</v>
      </c>
      <c r="G361" s="395">
        <v>40381</v>
      </c>
    </row>
    <row r="362" spans="1:7">
      <c r="A362" s="413"/>
      <c r="B362" s="414" t="s">
        <v>306</v>
      </c>
      <c r="C362" s="415" t="s">
        <v>9</v>
      </c>
      <c r="D362" s="415" t="s">
        <v>1</v>
      </c>
      <c r="E362" s="415" t="s">
        <v>307</v>
      </c>
      <c r="F362" s="415" t="s">
        <v>3</v>
      </c>
      <c r="G362" s="415" t="s">
        <v>308</v>
      </c>
    </row>
    <row r="363" spans="1:7">
      <c r="A363" s="413"/>
      <c r="B363" s="416" t="s">
        <v>309</v>
      </c>
      <c r="C363" s="417" t="s">
        <v>313</v>
      </c>
      <c r="D363" s="418"/>
      <c r="E363" s="418"/>
      <c r="F363" s="418"/>
      <c r="G363" s="419"/>
    </row>
    <row r="364" spans="1:7">
      <c r="A364" s="420"/>
      <c r="B364" s="425" t="s">
        <v>151</v>
      </c>
      <c r="C364" s="426" t="s">
        <v>152</v>
      </c>
      <c r="D364" s="427" t="s">
        <v>6</v>
      </c>
      <c r="E364" s="428">
        <v>1733</v>
      </c>
      <c r="F364" s="427">
        <v>0.52</v>
      </c>
      <c r="G364" s="428">
        <v>901</v>
      </c>
    </row>
    <row r="365" spans="1:7">
      <c r="A365" s="420"/>
      <c r="B365" s="421" t="s">
        <v>162</v>
      </c>
      <c r="C365" s="422" t="s">
        <v>163</v>
      </c>
      <c r="D365" s="423" t="s">
        <v>53</v>
      </c>
      <c r="E365" s="424">
        <v>13246</v>
      </c>
      <c r="F365" s="423">
        <v>0.8</v>
      </c>
      <c r="G365" s="424">
        <v>10597</v>
      </c>
    </row>
    <row r="366" spans="1:7">
      <c r="A366" s="413"/>
      <c r="B366" s="416" t="s">
        <v>309</v>
      </c>
      <c r="C366" s="417" t="s">
        <v>310</v>
      </c>
      <c r="D366" s="418"/>
      <c r="E366" s="418"/>
      <c r="F366" s="418"/>
      <c r="G366" s="419"/>
    </row>
    <row r="367" spans="1:7">
      <c r="A367" s="420"/>
      <c r="B367" s="421" t="s">
        <v>10</v>
      </c>
      <c r="C367" s="422" t="s">
        <v>11</v>
      </c>
      <c r="D367" s="423" t="s">
        <v>6</v>
      </c>
      <c r="E367" s="424">
        <v>3311</v>
      </c>
      <c r="F367" s="423">
        <v>0.45</v>
      </c>
      <c r="G367" s="424">
        <v>1490</v>
      </c>
    </row>
    <row r="368" spans="1:7">
      <c r="A368" s="413"/>
      <c r="B368" s="416" t="s">
        <v>309</v>
      </c>
      <c r="C368" s="417" t="s">
        <v>311</v>
      </c>
      <c r="D368" s="418"/>
      <c r="E368" s="418"/>
      <c r="F368" s="418"/>
      <c r="G368" s="419"/>
    </row>
    <row r="369" spans="1:7">
      <c r="A369" s="420"/>
      <c r="B369" s="421" t="s">
        <v>164</v>
      </c>
      <c r="C369" s="422" t="s">
        <v>165</v>
      </c>
      <c r="D369" s="423" t="s">
        <v>12</v>
      </c>
      <c r="E369" s="424">
        <v>171308</v>
      </c>
      <c r="F369" s="423">
        <v>2.8999999999999998E-3</v>
      </c>
      <c r="G369" s="424">
        <v>497</v>
      </c>
    </row>
    <row r="370" spans="1:7">
      <c r="A370" s="413"/>
      <c r="B370" s="416" t="s">
        <v>309</v>
      </c>
      <c r="C370" s="417" t="s">
        <v>312</v>
      </c>
      <c r="D370" s="418"/>
      <c r="E370" s="418"/>
      <c r="F370" s="418"/>
      <c r="G370" s="419"/>
    </row>
    <row r="371" spans="1:7">
      <c r="A371" s="420"/>
      <c r="B371" s="421" t="s">
        <v>156</v>
      </c>
      <c r="C371" s="422" t="s">
        <v>157</v>
      </c>
      <c r="D371" s="423" t="s">
        <v>13</v>
      </c>
      <c r="E371" s="424">
        <v>23915</v>
      </c>
      <c r="F371" s="423">
        <v>0.49</v>
      </c>
      <c r="G371" s="424">
        <v>11718</v>
      </c>
    </row>
    <row r="372" spans="1:7">
      <c r="A372" s="413"/>
      <c r="B372" s="416" t="s">
        <v>309</v>
      </c>
      <c r="C372" s="417" t="s">
        <v>314</v>
      </c>
      <c r="D372" s="418"/>
      <c r="E372" s="418"/>
      <c r="F372" s="418"/>
      <c r="G372" s="419"/>
    </row>
    <row r="373" spans="1:7">
      <c r="A373" s="420"/>
      <c r="B373" s="425" t="s">
        <v>206</v>
      </c>
      <c r="C373" s="426" t="s">
        <v>207</v>
      </c>
      <c r="D373" s="427" t="s">
        <v>5</v>
      </c>
      <c r="E373" s="428">
        <v>590583</v>
      </c>
      <c r="F373" s="427">
        <v>2.5700000000000001E-2</v>
      </c>
      <c r="G373" s="428">
        <v>15178</v>
      </c>
    </row>
    <row r="375" spans="1:7" ht="26.25">
      <c r="A375" s="408">
        <v>28</v>
      </c>
      <c r="B375" s="409" t="s">
        <v>327</v>
      </c>
      <c r="C375" s="410" t="s">
        <v>328</v>
      </c>
      <c r="D375" s="411" t="s">
        <v>7</v>
      </c>
      <c r="E375" s="412"/>
      <c r="F375" s="394" t="s">
        <v>305</v>
      </c>
      <c r="G375" s="395">
        <v>20770</v>
      </c>
    </row>
    <row r="376" spans="1:7">
      <c r="A376" s="413"/>
      <c r="B376" s="414" t="s">
        <v>306</v>
      </c>
      <c r="C376" s="415" t="s">
        <v>9</v>
      </c>
      <c r="D376" s="415" t="s">
        <v>1</v>
      </c>
      <c r="E376" s="415" t="s">
        <v>307</v>
      </c>
      <c r="F376" s="415" t="s">
        <v>3</v>
      </c>
      <c r="G376" s="415" t="s">
        <v>308</v>
      </c>
    </row>
    <row r="377" spans="1:7">
      <c r="A377" s="413"/>
      <c r="B377" s="416" t="s">
        <v>309</v>
      </c>
      <c r="C377" s="417" t="s">
        <v>313</v>
      </c>
      <c r="D377" s="418"/>
      <c r="E377" s="418"/>
      <c r="F377" s="418"/>
      <c r="G377" s="419"/>
    </row>
    <row r="378" spans="1:7">
      <c r="A378" s="420"/>
      <c r="B378" s="425" t="s">
        <v>151</v>
      </c>
      <c r="C378" s="426" t="s">
        <v>152</v>
      </c>
      <c r="D378" s="427" t="s">
        <v>6</v>
      </c>
      <c r="E378" s="428">
        <v>1733</v>
      </c>
      <c r="F378" s="427">
        <v>0.42</v>
      </c>
      <c r="G378" s="428">
        <v>728</v>
      </c>
    </row>
    <row r="379" spans="1:7">
      <c r="A379" s="420"/>
      <c r="B379" s="421" t="s">
        <v>162</v>
      </c>
      <c r="C379" s="422" t="s">
        <v>163</v>
      </c>
      <c r="D379" s="423" t="s">
        <v>53</v>
      </c>
      <c r="E379" s="424">
        <v>13246</v>
      </c>
      <c r="F379" s="423">
        <v>0.32</v>
      </c>
      <c r="G379" s="424">
        <v>4239</v>
      </c>
    </row>
    <row r="380" spans="1:7">
      <c r="A380" s="413"/>
      <c r="B380" s="416" t="s">
        <v>309</v>
      </c>
      <c r="C380" s="417" t="s">
        <v>310</v>
      </c>
      <c r="D380" s="418"/>
      <c r="E380" s="418"/>
      <c r="F380" s="418"/>
      <c r="G380" s="419"/>
    </row>
    <row r="381" spans="1:7">
      <c r="A381" s="420"/>
      <c r="B381" s="421" t="s">
        <v>10</v>
      </c>
      <c r="C381" s="422" t="s">
        <v>11</v>
      </c>
      <c r="D381" s="423" t="s">
        <v>6</v>
      </c>
      <c r="E381" s="424">
        <v>3311</v>
      </c>
      <c r="F381" s="423">
        <v>0.1</v>
      </c>
      <c r="G381" s="424">
        <v>331</v>
      </c>
    </row>
    <row r="382" spans="1:7">
      <c r="A382" s="413"/>
      <c r="B382" s="416" t="s">
        <v>309</v>
      </c>
      <c r="C382" s="417" t="s">
        <v>311</v>
      </c>
      <c r="D382" s="418"/>
      <c r="E382" s="418"/>
      <c r="F382" s="418"/>
      <c r="G382" s="419"/>
    </row>
    <row r="383" spans="1:7" ht="24.75">
      <c r="A383" s="420"/>
      <c r="B383" s="425" t="s">
        <v>156</v>
      </c>
      <c r="C383" s="426" t="s">
        <v>176</v>
      </c>
      <c r="D383" s="427" t="s">
        <v>6</v>
      </c>
      <c r="E383" s="428">
        <v>9475</v>
      </c>
      <c r="F383" s="427">
        <v>0.01</v>
      </c>
      <c r="G383" s="428">
        <v>95</v>
      </c>
    </row>
    <row r="384" spans="1:7">
      <c r="A384" s="420"/>
      <c r="B384" s="421" t="s">
        <v>164</v>
      </c>
      <c r="C384" s="422" t="s">
        <v>165</v>
      </c>
      <c r="D384" s="423" t="s">
        <v>12</v>
      </c>
      <c r="E384" s="424">
        <v>171308</v>
      </c>
      <c r="F384" s="423">
        <v>1.1999999999999999E-3</v>
      </c>
      <c r="G384" s="424">
        <v>206</v>
      </c>
    </row>
    <row r="385" spans="1:7">
      <c r="A385" s="413"/>
      <c r="B385" s="416" t="s">
        <v>309</v>
      </c>
      <c r="C385" s="417" t="s">
        <v>312</v>
      </c>
      <c r="D385" s="418"/>
      <c r="E385" s="418"/>
      <c r="F385" s="418"/>
      <c r="G385" s="419"/>
    </row>
    <row r="386" spans="1:7">
      <c r="A386" s="420"/>
      <c r="B386" s="421" t="s">
        <v>156</v>
      </c>
      <c r="C386" s="422" t="s">
        <v>157</v>
      </c>
      <c r="D386" s="423" t="s">
        <v>13</v>
      </c>
      <c r="E386" s="424">
        <v>23915</v>
      </c>
      <c r="F386" s="423">
        <v>0.38</v>
      </c>
      <c r="G386" s="424">
        <v>9088</v>
      </c>
    </row>
    <row r="387" spans="1:7">
      <c r="A387" s="413"/>
      <c r="B387" s="416" t="s">
        <v>309</v>
      </c>
      <c r="C387" s="417" t="s">
        <v>314</v>
      </c>
      <c r="D387" s="418"/>
      <c r="E387" s="418"/>
      <c r="F387" s="418"/>
      <c r="G387" s="419"/>
    </row>
    <row r="388" spans="1:7">
      <c r="A388" s="420"/>
      <c r="B388" s="425" t="s">
        <v>206</v>
      </c>
      <c r="C388" s="426" t="s">
        <v>207</v>
      </c>
      <c r="D388" s="427" t="s">
        <v>5</v>
      </c>
      <c r="E388" s="428">
        <v>590583</v>
      </c>
      <c r="F388" s="427">
        <v>1.03E-2</v>
      </c>
      <c r="G388" s="428">
        <v>6083</v>
      </c>
    </row>
    <row r="390" spans="1:7" ht="39">
      <c r="A390" s="408">
        <v>29</v>
      </c>
      <c r="B390" s="409" t="s">
        <v>374</v>
      </c>
      <c r="C390" s="410" t="s">
        <v>375</v>
      </c>
      <c r="D390" s="411" t="s">
        <v>7</v>
      </c>
      <c r="E390" s="412"/>
      <c r="F390" s="394" t="s">
        <v>305</v>
      </c>
      <c r="G390" s="395">
        <v>111650</v>
      </c>
    </row>
    <row r="391" spans="1:7">
      <c r="A391" s="413"/>
      <c r="B391" s="414" t="s">
        <v>306</v>
      </c>
      <c r="C391" s="415" t="s">
        <v>9</v>
      </c>
      <c r="D391" s="415" t="s">
        <v>1</v>
      </c>
      <c r="E391" s="415" t="s">
        <v>307</v>
      </c>
      <c r="F391" s="415" t="s">
        <v>3</v>
      </c>
      <c r="G391" s="415" t="s">
        <v>308</v>
      </c>
    </row>
    <row r="392" spans="1:7">
      <c r="A392" s="413"/>
      <c r="B392" s="416" t="s">
        <v>309</v>
      </c>
      <c r="C392" s="417" t="s">
        <v>313</v>
      </c>
      <c r="D392" s="418"/>
      <c r="E392" s="418"/>
      <c r="F392" s="418"/>
      <c r="G392" s="419"/>
    </row>
    <row r="393" spans="1:7">
      <c r="A393" s="420"/>
      <c r="B393" s="425" t="s">
        <v>252</v>
      </c>
      <c r="C393" s="426" t="s">
        <v>253</v>
      </c>
      <c r="D393" s="427" t="s">
        <v>172</v>
      </c>
      <c r="E393" s="428">
        <v>115927</v>
      </c>
      <c r="F393" s="427">
        <v>2.7E-2</v>
      </c>
      <c r="G393" s="428">
        <v>3130</v>
      </c>
    </row>
    <row r="394" spans="1:7">
      <c r="A394" s="420"/>
      <c r="B394" s="425" t="s">
        <v>366</v>
      </c>
      <c r="C394" s="426" t="s">
        <v>367</v>
      </c>
      <c r="D394" s="427" t="s">
        <v>6</v>
      </c>
      <c r="E394" s="428">
        <v>37079</v>
      </c>
      <c r="F394" s="427">
        <v>8.2000000000000003E-2</v>
      </c>
      <c r="G394" s="428">
        <v>3040</v>
      </c>
    </row>
    <row r="395" spans="1:7">
      <c r="A395" s="420"/>
      <c r="B395" s="425" t="s">
        <v>368</v>
      </c>
      <c r="C395" s="426" t="s">
        <v>369</v>
      </c>
      <c r="D395" s="427" t="s">
        <v>6</v>
      </c>
      <c r="E395" s="428">
        <v>24719</v>
      </c>
      <c r="F395" s="427">
        <v>8.2000000000000003E-2</v>
      </c>
      <c r="G395" s="428">
        <v>2027</v>
      </c>
    </row>
    <row r="396" spans="1:7">
      <c r="A396" s="420"/>
      <c r="B396" s="425" t="s">
        <v>151</v>
      </c>
      <c r="C396" s="426" t="s">
        <v>152</v>
      </c>
      <c r="D396" s="427" t="s">
        <v>6</v>
      </c>
      <c r="E396" s="428">
        <v>1733</v>
      </c>
      <c r="F396" s="427">
        <v>0.2</v>
      </c>
      <c r="G396" s="428">
        <v>347</v>
      </c>
    </row>
    <row r="397" spans="1:7">
      <c r="A397" s="420"/>
      <c r="B397" s="425" t="s">
        <v>370</v>
      </c>
      <c r="C397" s="426" t="s">
        <v>371</v>
      </c>
      <c r="D397" s="427" t="s">
        <v>8</v>
      </c>
      <c r="E397" s="428">
        <v>35581</v>
      </c>
      <c r="F397" s="427">
        <v>0.82</v>
      </c>
      <c r="G397" s="428">
        <v>29176</v>
      </c>
    </row>
    <row r="398" spans="1:7">
      <c r="A398" s="420"/>
      <c r="B398" s="425" t="s">
        <v>376</v>
      </c>
      <c r="C398" s="426" t="s">
        <v>377</v>
      </c>
      <c r="D398" s="427" t="s">
        <v>6</v>
      </c>
      <c r="E398" s="428">
        <v>4680</v>
      </c>
      <c r="F398" s="427">
        <v>0.5</v>
      </c>
      <c r="G398" s="428">
        <v>2340</v>
      </c>
    </row>
    <row r="399" spans="1:7">
      <c r="A399" s="420"/>
      <c r="B399" s="421" t="s">
        <v>378</v>
      </c>
      <c r="C399" s="422" t="s">
        <v>379</v>
      </c>
      <c r="D399" s="423" t="s">
        <v>6</v>
      </c>
      <c r="E399" s="424">
        <v>34084</v>
      </c>
      <c r="F399" s="423">
        <v>0.03</v>
      </c>
      <c r="G399" s="424">
        <v>1023</v>
      </c>
    </row>
    <row r="400" spans="1:7">
      <c r="A400" s="413"/>
      <c r="B400" s="416" t="s">
        <v>309</v>
      </c>
      <c r="C400" s="417" t="s">
        <v>310</v>
      </c>
      <c r="D400" s="418"/>
      <c r="E400" s="418"/>
      <c r="F400" s="418"/>
      <c r="G400" s="419"/>
    </row>
    <row r="401" spans="1:7">
      <c r="A401" s="420"/>
      <c r="B401" s="421" t="s">
        <v>10</v>
      </c>
      <c r="C401" s="422" t="s">
        <v>11</v>
      </c>
      <c r="D401" s="423" t="s">
        <v>6</v>
      </c>
      <c r="E401" s="424">
        <v>3311</v>
      </c>
      <c r="F401" s="423">
        <v>0.18</v>
      </c>
      <c r="G401" s="424">
        <v>596</v>
      </c>
    </row>
    <row r="402" spans="1:7">
      <c r="A402" s="413"/>
      <c r="B402" s="416" t="s">
        <v>309</v>
      </c>
      <c r="C402" s="417" t="s">
        <v>311</v>
      </c>
      <c r="D402" s="418"/>
      <c r="E402" s="418"/>
      <c r="F402" s="418"/>
      <c r="G402" s="419"/>
    </row>
    <row r="403" spans="1:7">
      <c r="A403" s="420"/>
      <c r="B403" s="425" t="s">
        <v>164</v>
      </c>
      <c r="C403" s="426" t="s">
        <v>165</v>
      </c>
      <c r="D403" s="427" t="s">
        <v>12</v>
      </c>
      <c r="E403" s="428">
        <v>171308</v>
      </c>
      <c r="F403" s="427">
        <v>4.5999999999999999E-3</v>
      </c>
      <c r="G403" s="428">
        <v>788</v>
      </c>
    </row>
    <row r="404" spans="1:7">
      <c r="A404" s="420"/>
      <c r="B404" s="421" t="s">
        <v>380</v>
      </c>
      <c r="C404" s="422" t="s">
        <v>381</v>
      </c>
      <c r="D404" s="423" t="s">
        <v>12</v>
      </c>
      <c r="E404" s="424">
        <v>49681</v>
      </c>
      <c r="F404" s="423">
        <v>1.2999999999999999E-2</v>
      </c>
      <c r="G404" s="424">
        <v>646</v>
      </c>
    </row>
    <row r="405" spans="1:7">
      <c r="A405" s="413"/>
      <c r="B405" s="416" t="s">
        <v>309</v>
      </c>
      <c r="C405" s="417" t="s">
        <v>312</v>
      </c>
      <c r="D405" s="418"/>
      <c r="E405" s="418"/>
      <c r="F405" s="418"/>
      <c r="G405" s="419"/>
    </row>
    <row r="406" spans="1:7">
      <c r="A406" s="420"/>
      <c r="B406" s="425" t="s">
        <v>372</v>
      </c>
      <c r="C406" s="426" t="s">
        <v>373</v>
      </c>
      <c r="D406" s="427" t="s">
        <v>13</v>
      </c>
      <c r="E406" s="428">
        <v>38076</v>
      </c>
      <c r="F406" s="427">
        <v>1.8</v>
      </c>
      <c r="G406" s="428">
        <v>68537</v>
      </c>
    </row>
    <row r="408" spans="1:7">
      <c r="A408" s="408">
        <v>30</v>
      </c>
      <c r="B408" s="409" t="s">
        <v>263</v>
      </c>
      <c r="C408" s="410" t="s">
        <v>264</v>
      </c>
      <c r="D408" s="411" t="s">
        <v>8</v>
      </c>
      <c r="E408" s="412"/>
      <c r="F408" s="394" t="s">
        <v>305</v>
      </c>
      <c r="G408" s="395">
        <v>14481</v>
      </c>
    </row>
    <row r="409" spans="1:7">
      <c r="A409" s="413"/>
      <c r="B409" s="414" t="s">
        <v>306</v>
      </c>
      <c r="C409" s="415" t="s">
        <v>9</v>
      </c>
      <c r="D409" s="415" t="s">
        <v>1</v>
      </c>
      <c r="E409" s="415" t="s">
        <v>307</v>
      </c>
      <c r="F409" s="415" t="s">
        <v>3</v>
      </c>
      <c r="G409" s="415" t="s">
        <v>308</v>
      </c>
    </row>
    <row r="410" spans="1:7">
      <c r="A410" s="413"/>
      <c r="B410" s="416" t="s">
        <v>309</v>
      </c>
      <c r="C410" s="417" t="s">
        <v>313</v>
      </c>
      <c r="D410" s="418"/>
      <c r="E410" s="418"/>
      <c r="F410" s="418"/>
      <c r="G410" s="419"/>
    </row>
    <row r="411" spans="1:7">
      <c r="A411" s="420"/>
      <c r="B411" s="421" t="s">
        <v>151</v>
      </c>
      <c r="C411" s="422" t="s">
        <v>152</v>
      </c>
      <c r="D411" s="423" t="s">
        <v>6</v>
      </c>
      <c r="E411" s="424">
        <v>1733</v>
      </c>
      <c r="F411" s="423">
        <v>0.5</v>
      </c>
      <c r="G411" s="424">
        <v>867</v>
      </c>
    </row>
    <row r="412" spans="1:7">
      <c r="A412" s="413"/>
      <c r="B412" s="416" t="s">
        <v>309</v>
      </c>
      <c r="C412" s="417" t="s">
        <v>310</v>
      </c>
      <c r="D412" s="418"/>
      <c r="E412" s="418"/>
      <c r="F412" s="418"/>
      <c r="G412" s="419"/>
    </row>
    <row r="413" spans="1:7">
      <c r="A413" s="420"/>
      <c r="B413" s="421" t="s">
        <v>10</v>
      </c>
      <c r="C413" s="422" t="s">
        <v>11</v>
      </c>
      <c r="D413" s="423" t="s">
        <v>6</v>
      </c>
      <c r="E413" s="424">
        <v>3311</v>
      </c>
      <c r="F413" s="423">
        <v>0.5</v>
      </c>
      <c r="G413" s="424">
        <v>1656</v>
      </c>
    </row>
    <row r="414" spans="1:7">
      <c r="A414" s="413"/>
      <c r="B414" s="416" t="s">
        <v>309</v>
      </c>
      <c r="C414" s="417" t="s">
        <v>312</v>
      </c>
      <c r="D414" s="418"/>
      <c r="E414" s="418"/>
      <c r="F414" s="418"/>
      <c r="G414" s="419"/>
    </row>
    <row r="415" spans="1:7">
      <c r="A415" s="420"/>
      <c r="B415" s="425" t="s">
        <v>156</v>
      </c>
      <c r="C415" s="426" t="s">
        <v>157</v>
      </c>
      <c r="D415" s="427" t="s">
        <v>13</v>
      </c>
      <c r="E415" s="428">
        <v>23915</v>
      </c>
      <c r="F415" s="427">
        <v>0.5</v>
      </c>
      <c r="G415" s="428">
        <v>11958</v>
      </c>
    </row>
    <row r="417" spans="1:7" ht="39">
      <c r="A417" s="408">
        <v>31</v>
      </c>
      <c r="B417" s="409" t="s">
        <v>525</v>
      </c>
      <c r="C417" s="410" t="s">
        <v>526</v>
      </c>
      <c r="D417" s="411" t="s">
        <v>8</v>
      </c>
      <c r="E417" s="412"/>
      <c r="F417" s="394" t="s">
        <v>305</v>
      </c>
      <c r="G417" s="395">
        <v>74396</v>
      </c>
    </row>
    <row r="418" spans="1:7">
      <c r="A418" s="413"/>
      <c r="B418" s="414" t="s">
        <v>306</v>
      </c>
      <c r="C418" s="415" t="s">
        <v>9</v>
      </c>
      <c r="D418" s="415" t="s">
        <v>1</v>
      </c>
      <c r="E418" s="415" t="s">
        <v>307</v>
      </c>
      <c r="F418" s="415" t="s">
        <v>3</v>
      </c>
      <c r="G418" s="415" t="s">
        <v>308</v>
      </c>
    </row>
    <row r="419" spans="1:7">
      <c r="A419" s="413"/>
      <c r="B419" s="416" t="s">
        <v>309</v>
      </c>
      <c r="C419" s="417" t="s">
        <v>313</v>
      </c>
      <c r="D419" s="418"/>
      <c r="E419" s="418"/>
      <c r="F419" s="418"/>
      <c r="G419" s="419"/>
    </row>
    <row r="420" spans="1:7" ht="36.75">
      <c r="A420" s="420"/>
      <c r="B420" s="425" t="s">
        <v>527</v>
      </c>
      <c r="C420" s="426" t="s">
        <v>526</v>
      </c>
      <c r="D420" s="427" t="s">
        <v>8</v>
      </c>
      <c r="E420" s="428">
        <v>74396</v>
      </c>
      <c r="F420" s="427">
        <v>1</v>
      </c>
      <c r="G420" s="428">
        <v>74396</v>
      </c>
    </row>
    <row r="422" spans="1:7" ht="39">
      <c r="A422" s="408">
        <v>32</v>
      </c>
      <c r="B422" s="409" t="s">
        <v>329</v>
      </c>
      <c r="C422" s="410" t="s">
        <v>330</v>
      </c>
      <c r="D422" s="411" t="s">
        <v>8</v>
      </c>
      <c r="E422" s="412"/>
      <c r="F422" s="394" t="s">
        <v>305</v>
      </c>
      <c r="G422" s="395">
        <v>173052</v>
      </c>
    </row>
    <row r="423" spans="1:7">
      <c r="A423" s="413"/>
      <c r="B423" s="414" t="s">
        <v>306</v>
      </c>
      <c r="C423" s="415" t="s">
        <v>9</v>
      </c>
      <c r="D423" s="415" t="s">
        <v>1</v>
      </c>
      <c r="E423" s="415" t="s">
        <v>307</v>
      </c>
      <c r="F423" s="415" t="s">
        <v>3</v>
      </c>
      <c r="G423" s="415" t="s">
        <v>308</v>
      </c>
    </row>
    <row r="424" spans="1:7">
      <c r="A424" s="413"/>
      <c r="B424" s="416" t="s">
        <v>309</v>
      </c>
      <c r="C424" s="417" t="s">
        <v>313</v>
      </c>
      <c r="D424" s="418"/>
      <c r="E424" s="418"/>
      <c r="F424" s="418"/>
      <c r="G424" s="419"/>
    </row>
    <row r="425" spans="1:7">
      <c r="A425" s="420"/>
      <c r="B425" s="425" t="s">
        <v>234</v>
      </c>
      <c r="C425" s="426" t="s">
        <v>238</v>
      </c>
      <c r="D425" s="427" t="s">
        <v>172</v>
      </c>
      <c r="E425" s="428">
        <v>177548</v>
      </c>
      <c r="F425" s="427">
        <v>1E-3</v>
      </c>
      <c r="G425" s="428">
        <v>178</v>
      </c>
    </row>
    <row r="426" spans="1:7">
      <c r="A426" s="420"/>
      <c r="B426" s="425" t="s">
        <v>331</v>
      </c>
      <c r="C426" s="426" t="s">
        <v>332</v>
      </c>
      <c r="D426" s="427" t="s">
        <v>8</v>
      </c>
      <c r="E426" s="428">
        <v>91010</v>
      </c>
      <c r="F426" s="427">
        <v>1.03</v>
      </c>
      <c r="G426" s="428">
        <v>93740</v>
      </c>
    </row>
    <row r="427" spans="1:7">
      <c r="A427" s="420"/>
      <c r="B427" s="425" t="s">
        <v>230</v>
      </c>
      <c r="C427" s="426" t="s">
        <v>231</v>
      </c>
      <c r="D427" s="427" t="s">
        <v>53</v>
      </c>
      <c r="E427" s="428">
        <v>8030</v>
      </c>
      <c r="F427" s="427">
        <v>0.25</v>
      </c>
      <c r="G427" s="428">
        <v>2008</v>
      </c>
    </row>
    <row r="428" spans="1:7">
      <c r="A428" s="420"/>
      <c r="B428" s="425" t="s">
        <v>233</v>
      </c>
      <c r="C428" s="426" t="s">
        <v>237</v>
      </c>
      <c r="D428" s="427" t="s">
        <v>52</v>
      </c>
      <c r="E428" s="428">
        <v>101218</v>
      </c>
      <c r="F428" s="427">
        <v>3.0000000000000001E-3</v>
      </c>
      <c r="G428" s="428">
        <v>304</v>
      </c>
    </row>
    <row r="429" spans="1:7">
      <c r="A429" s="420"/>
      <c r="B429" s="425" t="s">
        <v>151</v>
      </c>
      <c r="C429" s="426" t="s">
        <v>152</v>
      </c>
      <c r="D429" s="427" t="s">
        <v>6</v>
      </c>
      <c r="E429" s="428">
        <v>1733</v>
      </c>
      <c r="F429" s="427">
        <v>0.55400000000000005</v>
      </c>
      <c r="G429" s="428">
        <v>960</v>
      </c>
    </row>
    <row r="430" spans="1:7">
      <c r="A430" s="420"/>
      <c r="B430" s="425" t="s">
        <v>232</v>
      </c>
      <c r="C430" s="426" t="s">
        <v>236</v>
      </c>
      <c r="D430" s="427" t="s">
        <v>7</v>
      </c>
      <c r="E430" s="428">
        <v>4958</v>
      </c>
      <c r="F430" s="427">
        <v>1.1000000000000001</v>
      </c>
      <c r="G430" s="428">
        <v>5454</v>
      </c>
    </row>
    <row r="431" spans="1:7">
      <c r="A431" s="420"/>
      <c r="B431" s="425" t="s">
        <v>191</v>
      </c>
      <c r="C431" s="426" t="s">
        <v>192</v>
      </c>
      <c r="D431" s="427" t="s">
        <v>52</v>
      </c>
      <c r="E431" s="428">
        <v>31</v>
      </c>
      <c r="F431" s="427">
        <v>2.5</v>
      </c>
      <c r="G431" s="428">
        <v>78</v>
      </c>
    </row>
    <row r="432" spans="1:7">
      <c r="A432" s="420"/>
      <c r="B432" s="421" t="s">
        <v>235</v>
      </c>
      <c r="C432" s="422" t="s">
        <v>239</v>
      </c>
      <c r="D432" s="423" t="s">
        <v>53</v>
      </c>
      <c r="E432" s="424">
        <v>6885</v>
      </c>
      <c r="F432" s="423">
        <v>0.22</v>
      </c>
      <c r="G432" s="424">
        <v>1515</v>
      </c>
    </row>
    <row r="433" spans="1:7">
      <c r="A433" s="413"/>
      <c r="B433" s="416" t="s">
        <v>309</v>
      </c>
      <c r="C433" s="417" t="s">
        <v>310</v>
      </c>
      <c r="D433" s="418"/>
      <c r="E433" s="418"/>
      <c r="F433" s="418"/>
      <c r="G433" s="419"/>
    </row>
    <row r="434" spans="1:7">
      <c r="A434" s="420"/>
      <c r="B434" s="421" t="s">
        <v>10</v>
      </c>
      <c r="C434" s="422" t="s">
        <v>11</v>
      </c>
      <c r="D434" s="423" t="s">
        <v>6</v>
      </c>
      <c r="E434" s="424">
        <v>3311</v>
      </c>
      <c r="F434" s="423">
        <v>0.02</v>
      </c>
      <c r="G434" s="424">
        <v>66</v>
      </c>
    </row>
    <row r="435" spans="1:7">
      <c r="A435" s="413"/>
      <c r="B435" s="416" t="s">
        <v>309</v>
      </c>
      <c r="C435" s="417" t="s">
        <v>311</v>
      </c>
      <c r="D435" s="418"/>
      <c r="E435" s="418"/>
      <c r="F435" s="418"/>
      <c r="G435" s="419"/>
    </row>
    <row r="436" spans="1:7">
      <c r="A436" s="420"/>
      <c r="B436" s="425" t="s">
        <v>164</v>
      </c>
      <c r="C436" s="426" t="s">
        <v>165</v>
      </c>
      <c r="D436" s="427" t="s">
        <v>12</v>
      </c>
      <c r="E436" s="428">
        <v>171308</v>
      </c>
      <c r="F436" s="427">
        <v>1.7100000000000001E-2</v>
      </c>
      <c r="G436" s="428">
        <v>2929</v>
      </c>
    </row>
    <row r="437" spans="1:7">
      <c r="A437" s="420"/>
      <c r="B437" s="425" t="s">
        <v>218</v>
      </c>
      <c r="C437" s="426" t="s">
        <v>226</v>
      </c>
      <c r="D437" s="427" t="s">
        <v>12</v>
      </c>
      <c r="E437" s="428">
        <v>57627</v>
      </c>
      <c r="F437" s="427">
        <v>0.05</v>
      </c>
      <c r="G437" s="428">
        <v>2881</v>
      </c>
    </row>
    <row r="438" spans="1:7">
      <c r="A438" s="420"/>
      <c r="B438" s="425" t="s">
        <v>219</v>
      </c>
      <c r="C438" s="426" t="s">
        <v>227</v>
      </c>
      <c r="D438" s="427" t="s">
        <v>12</v>
      </c>
      <c r="E438" s="428">
        <v>57627</v>
      </c>
      <c r="F438" s="427">
        <v>0.05</v>
      </c>
      <c r="G438" s="428">
        <v>2881</v>
      </c>
    </row>
    <row r="439" spans="1:7">
      <c r="A439" s="420"/>
      <c r="B439" s="421" t="s">
        <v>220</v>
      </c>
      <c r="C439" s="422" t="s">
        <v>228</v>
      </c>
      <c r="D439" s="423" t="s">
        <v>12</v>
      </c>
      <c r="E439" s="424">
        <v>57627</v>
      </c>
      <c r="F439" s="423">
        <v>0.05</v>
      </c>
      <c r="G439" s="424">
        <v>2881</v>
      </c>
    </row>
    <row r="440" spans="1:7">
      <c r="A440" s="413"/>
      <c r="B440" s="416" t="s">
        <v>309</v>
      </c>
      <c r="C440" s="417" t="s">
        <v>312</v>
      </c>
      <c r="D440" s="418"/>
      <c r="E440" s="418"/>
      <c r="F440" s="418"/>
      <c r="G440" s="419"/>
    </row>
    <row r="441" spans="1:7">
      <c r="A441" s="420"/>
      <c r="B441" s="421" t="s">
        <v>156</v>
      </c>
      <c r="C441" s="422" t="s">
        <v>157</v>
      </c>
      <c r="D441" s="423" t="s">
        <v>13</v>
      </c>
      <c r="E441" s="424">
        <v>23915</v>
      </c>
      <c r="F441" s="423">
        <v>1.65</v>
      </c>
      <c r="G441" s="424">
        <v>39460</v>
      </c>
    </row>
    <row r="442" spans="1:7">
      <c r="A442" s="413"/>
      <c r="B442" s="416" t="s">
        <v>309</v>
      </c>
      <c r="C442" s="417" t="s">
        <v>314</v>
      </c>
      <c r="D442" s="418"/>
      <c r="E442" s="418"/>
      <c r="F442" s="418"/>
      <c r="G442" s="419"/>
    </row>
    <row r="443" spans="1:7">
      <c r="A443" s="420"/>
      <c r="B443" s="425" t="s">
        <v>206</v>
      </c>
      <c r="C443" s="426" t="s">
        <v>207</v>
      </c>
      <c r="D443" s="427" t="s">
        <v>5</v>
      </c>
      <c r="E443" s="428">
        <v>590583</v>
      </c>
      <c r="F443" s="427">
        <v>0.03</v>
      </c>
      <c r="G443" s="428">
        <v>17717</v>
      </c>
    </row>
    <row r="445" spans="1:7" ht="39">
      <c r="A445" s="408">
        <v>33</v>
      </c>
      <c r="B445" s="409" t="s">
        <v>382</v>
      </c>
      <c r="C445" s="410" t="s">
        <v>383</v>
      </c>
      <c r="D445" s="411" t="s">
        <v>7</v>
      </c>
      <c r="E445" s="412"/>
      <c r="F445" s="394" t="s">
        <v>305</v>
      </c>
      <c r="G445" s="395">
        <v>37483</v>
      </c>
    </row>
    <row r="446" spans="1:7">
      <c r="A446" s="413"/>
      <c r="B446" s="414" t="s">
        <v>306</v>
      </c>
      <c r="C446" s="415" t="s">
        <v>9</v>
      </c>
      <c r="D446" s="415" t="s">
        <v>1</v>
      </c>
      <c r="E446" s="415" t="s">
        <v>307</v>
      </c>
      <c r="F446" s="415" t="s">
        <v>3</v>
      </c>
      <c r="G446" s="415" t="s">
        <v>308</v>
      </c>
    </row>
    <row r="447" spans="1:7">
      <c r="A447" s="413"/>
      <c r="B447" s="416" t="s">
        <v>309</v>
      </c>
      <c r="C447" s="417" t="s">
        <v>313</v>
      </c>
      <c r="D447" s="418"/>
      <c r="E447" s="418"/>
      <c r="F447" s="418"/>
      <c r="G447" s="419"/>
    </row>
    <row r="448" spans="1:7">
      <c r="A448" s="420"/>
      <c r="B448" s="425" t="s">
        <v>384</v>
      </c>
      <c r="C448" s="426" t="s">
        <v>385</v>
      </c>
      <c r="D448" s="427" t="s">
        <v>53</v>
      </c>
      <c r="E448" s="428">
        <v>8030</v>
      </c>
      <c r="F448" s="427">
        <v>1.7999999999999999E-2</v>
      </c>
      <c r="G448" s="428">
        <v>145</v>
      </c>
    </row>
    <row r="449" spans="1:7" ht="24.75">
      <c r="A449" s="420"/>
      <c r="B449" s="425" t="s">
        <v>386</v>
      </c>
      <c r="C449" s="426" t="s">
        <v>387</v>
      </c>
      <c r="D449" s="427" t="s">
        <v>167</v>
      </c>
      <c r="E449" s="428">
        <v>17921</v>
      </c>
      <c r="F449" s="427">
        <v>1.03</v>
      </c>
      <c r="G449" s="428">
        <v>18459</v>
      </c>
    </row>
    <row r="450" spans="1:7">
      <c r="A450" s="420"/>
      <c r="B450" s="425" t="s">
        <v>151</v>
      </c>
      <c r="C450" s="426" t="s">
        <v>152</v>
      </c>
      <c r="D450" s="427" t="s">
        <v>6</v>
      </c>
      <c r="E450" s="428">
        <v>1733</v>
      </c>
      <c r="F450" s="427">
        <v>0.73499999999999999</v>
      </c>
      <c r="G450" s="428">
        <v>1274</v>
      </c>
    </row>
    <row r="451" spans="1:7">
      <c r="A451" s="420"/>
      <c r="B451" s="425" t="s">
        <v>211</v>
      </c>
      <c r="C451" s="426" t="s">
        <v>217</v>
      </c>
      <c r="D451" s="427" t="s">
        <v>53</v>
      </c>
      <c r="E451" s="428">
        <v>2097</v>
      </c>
      <c r="F451" s="427">
        <v>0.33</v>
      </c>
      <c r="G451" s="428">
        <v>692</v>
      </c>
    </row>
    <row r="452" spans="1:7">
      <c r="A452" s="420"/>
      <c r="B452" s="421" t="s">
        <v>191</v>
      </c>
      <c r="C452" s="422" t="s">
        <v>192</v>
      </c>
      <c r="D452" s="423" t="s">
        <v>52</v>
      </c>
      <c r="E452" s="424">
        <v>31</v>
      </c>
      <c r="F452" s="423">
        <v>7.9000000000000001E-2</v>
      </c>
      <c r="G452" s="424">
        <v>2</v>
      </c>
    </row>
    <row r="453" spans="1:7">
      <c r="A453" s="413"/>
      <c r="B453" s="416" t="s">
        <v>309</v>
      </c>
      <c r="C453" s="417" t="s">
        <v>310</v>
      </c>
      <c r="D453" s="418"/>
      <c r="E453" s="418"/>
      <c r="F453" s="418"/>
      <c r="G453" s="419"/>
    </row>
    <row r="454" spans="1:7">
      <c r="A454" s="420"/>
      <c r="B454" s="421" t="s">
        <v>10</v>
      </c>
      <c r="C454" s="422" t="s">
        <v>11</v>
      </c>
      <c r="D454" s="423" t="s">
        <v>6</v>
      </c>
      <c r="E454" s="424">
        <v>3311</v>
      </c>
      <c r="F454" s="423">
        <v>0.01</v>
      </c>
      <c r="G454" s="424">
        <v>33</v>
      </c>
    </row>
    <row r="455" spans="1:7">
      <c r="A455" s="413"/>
      <c r="B455" s="416" t="s">
        <v>309</v>
      </c>
      <c r="C455" s="417" t="s">
        <v>311</v>
      </c>
      <c r="D455" s="418"/>
      <c r="E455" s="418"/>
      <c r="F455" s="418"/>
      <c r="G455" s="419"/>
    </row>
    <row r="456" spans="1:7">
      <c r="A456" s="420"/>
      <c r="B456" s="421" t="s">
        <v>164</v>
      </c>
      <c r="C456" s="422" t="s">
        <v>165</v>
      </c>
      <c r="D456" s="423" t="s">
        <v>12</v>
      </c>
      <c r="E456" s="424">
        <v>171308</v>
      </c>
      <c r="F456" s="423">
        <v>2.2000000000000001E-3</v>
      </c>
      <c r="G456" s="424">
        <v>377</v>
      </c>
    </row>
    <row r="457" spans="1:7">
      <c r="A457" s="413"/>
      <c r="B457" s="416" t="s">
        <v>309</v>
      </c>
      <c r="C457" s="417" t="s">
        <v>312</v>
      </c>
      <c r="D457" s="418"/>
      <c r="E457" s="418"/>
      <c r="F457" s="418"/>
      <c r="G457" s="419"/>
    </row>
    <row r="458" spans="1:7">
      <c r="A458" s="420"/>
      <c r="B458" s="425" t="s">
        <v>156</v>
      </c>
      <c r="C458" s="426" t="s">
        <v>157</v>
      </c>
      <c r="D458" s="427" t="s">
        <v>13</v>
      </c>
      <c r="E458" s="428">
        <v>23915</v>
      </c>
      <c r="F458" s="427">
        <v>0.69</v>
      </c>
      <c r="G458" s="428">
        <v>16501</v>
      </c>
    </row>
    <row r="460" spans="1:7" ht="39">
      <c r="A460" s="408">
        <v>34</v>
      </c>
      <c r="B460" s="409" t="s">
        <v>182</v>
      </c>
      <c r="C460" s="410" t="s">
        <v>183</v>
      </c>
      <c r="D460" s="411" t="s">
        <v>7</v>
      </c>
      <c r="E460" s="412"/>
      <c r="F460" s="394" t="s">
        <v>305</v>
      </c>
      <c r="G460" s="395">
        <v>61263</v>
      </c>
    </row>
    <row r="461" spans="1:7">
      <c r="A461" s="413"/>
      <c r="B461" s="414" t="s">
        <v>306</v>
      </c>
      <c r="C461" s="415" t="s">
        <v>9</v>
      </c>
      <c r="D461" s="415" t="s">
        <v>1</v>
      </c>
      <c r="E461" s="415" t="s">
        <v>307</v>
      </c>
      <c r="F461" s="415" t="s">
        <v>3</v>
      </c>
      <c r="G461" s="415" t="s">
        <v>308</v>
      </c>
    </row>
    <row r="462" spans="1:7">
      <c r="A462" s="413"/>
      <c r="B462" s="416" t="s">
        <v>309</v>
      </c>
      <c r="C462" s="417" t="s">
        <v>313</v>
      </c>
      <c r="D462" s="418"/>
      <c r="E462" s="418"/>
      <c r="F462" s="418"/>
      <c r="G462" s="419"/>
    </row>
    <row r="463" spans="1:7">
      <c r="A463" s="420"/>
      <c r="B463" s="425" t="s">
        <v>212</v>
      </c>
      <c r="C463" s="426" t="s">
        <v>221</v>
      </c>
      <c r="D463" s="427" t="s">
        <v>229</v>
      </c>
      <c r="E463" s="428">
        <v>17225</v>
      </c>
      <c r="F463" s="427">
        <v>7.4999999999999997E-2</v>
      </c>
      <c r="G463" s="428">
        <v>1292</v>
      </c>
    </row>
    <row r="464" spans="1:7">
      <c r="A464" s="420"/>
      <c r="B464" s="425" t="s">
        <v>213</v>
      </c>
      <c r="C464" s="426" t="s">
        <v>222</v>
      </c>
      <c r="D464" s="427" t="s">
        <v>167</v>
      </c>
      <c r="E464" s="428">
        <v>9321</v>
      </c>
      <c r="F464" s="427">
        <v>4.4999999999999998E-2</v>
      </c>
      <c r="G464" s="428">
        <v>419</v>
      </c>
    </row>
    <row r="465" spans="1:7">
      <c r="A465" s="420"/>
      <c r="B465" s="425" t="s">
        <v>151</v>
      </c>
      <c r="C465" s="426" t="s">
        <v>152</v>
      </c>
      <c r="D465" s="427" t="s">
        <v>6</v>
      </c>
      <c r="E465" s="428">
        <v>1733</v>
      </c>
      <c r="F465" s="427">
        <v>0.73499999999999999</v>
      </c>
      <c r="G465" s="428">
        <v>1274</v>
      </c>
    </row>
    <row r="466" spans="1:7">
      <c r="A466" s="420"/>
      <c r="B466" s="425" t="s">
        <v>214</v>
      </c>
      <c r="C466" s="426" t="s">
        <v>223</v>
      </c>
      <c r="D466" s="427" t="s">
        <v>53</v>
      </c>
      <c r="E466" s="428">
        <v>2811</v>
      </c>
      <c r="F466" s="427">
        <v>6</v>
      </c>
      <c r="G466" s="428">
        <v>16866</v>
      </c>
    </row>
    <row r="467" spans="1:7">
      <c r="A467" s="420"/>
      <c r="B467" s="425" t="s">
        <v>215</v>
      </c>
      <c r="C467" s="426" t="s">
        <v>224</v>
      </c>
      <c r="D467" s="427" t="s">
        <v>53</v>
      </c>
      <c r="E467" s="428">
        <v>19848</v>
      </c>
      <c r="F467" s="427">
        <v>0.2</v>
      </c>
      <c r="G467" s="428">
        <v>3970</v>
      </c>
    </row>
    <row r="468" spans="1:7">
      <c r="A468" s="420"/>
      <c r="B468" s="425" t="s">
        <v>216</v>
      </c>
      <c r="C468" s="426" t="s">
        <v>225</v>
      </c>
      <c r="D468" s="427" t="s">
        <v>167</v>
      </c>
      <c r="E468" s="428">
        <v>18726</v>
      </c>
      <c r="F468" s="427">
        <v>0.6</v>
      </c>
      <c r="G468" s="428">
        <v>11236</v>
      </c>
    </row>
    <row r="469" spans="1:7">
      <c r="A469" s="420"/>
      <c r="B469" s="421" t="s">
        <v>191</v>
      </c>
      <c r="C469" s="422" t="s">
        <v>192</v>
      </c>
      <c r="D469" s="423" t="s">
        <v>52</v>
      </c>
      <c r="E469" s="424">
        <v>31</v>
      </c>
      <c r="F469" s="423">
        <v>3.5</v>
      </c>
      <c r="G469" s="424">
        <v>109</v>
      </c>
    </row>
    <row r="470" spans="1:7">
      <c r="A470" s="413"/>
      <c r="B470" s="416" t="s">
        <v>309</v>
      </c>
      <c r="C470" s="417" t="s">
        <v>310</v>
      </c>
      <c r="D470" s="418"/>
      <c r="E470" s="418"/>
      <c r="F470" s="418"/>
      <c r="G470" s="419"/>
    </row>
    <row r="471" spans="1:7">
      <c r="A471" s="420"/>
      <c r="B471" s="421" t="s">
        <v>10</v>
      </c>
      <c r="C471" s="422" t="s">
        <v>11</v>
      </c>
      <c r="D471" s="423" t="s">
        <v>6</v>
      </c>
      <c r="E471" s="424">
        <v>3311</v>
      </c>
      <c r="F471" s="423">
        <v>0.01</v>
      </c>
      <c r="G471" s="424">
        <v>33</v>
      </c>
    </row>
    <row r="472" spans="1:7">
      <c r="A472" s="413"/>
      <c r="B472" s="416" t="s">
        <v>309</v>
      </c>
      <c r="C472" s="417" t="s">
        <v>311</v>
      </c>
      <c r="D472" s="418"/>
      <c r="E472" s="418"/>
      <c r="F472" s="418"/>
      <c r="G472" s="419"/>
    </row>
    <row r="473" spans="1:7">
      <c r="A473" s="420"/>
      <c r="B473" s="425" t="s">
        <v>164</v>
      </c>
      <c r="C473" s="426" t="s">
        <v>165</v>
      </c>
      <c r="D473" s="427" t="s">
        <v>12</v>
      </c>
      <c r="E473" s="428">
        <v>171308</v>
      </c>
      <c r="F473" s="427">
        <v>4.7000000000000002E-3</v>
      </c>
      <c r="G473" s="428">
        <v>805</v>
      </c>
    </row>
    <row r="474" spans="1:7">
      <c r="A474" s="420"/>
      <c r="B474" s="425" t="s">
        <v>218</v>
      </c>
      <c r="C474" s="426" t="s">
        <v>226</v>
      </c>
      <c r="D474" s="427" t="s">
        <v>12</v>
      </c>
      <c r="E474" s="428">
        <v>57627</v>
      </c>
      <c r="F474" s="427">
        <v>0.01</v>
      </c>
      <c r="G474" s="428">
        <v>576</v>
      </c>
    </row>
    <row r="475" spans="1:7">
      <c r="A475" s="420"/>
      <c r="B475" s="425" t="s">
        <v>219</v>
      </c>
      <c r="C475" s="426" t="s">
        <v>227</v>
      </c>
      <c r="D475" s="427" t="s">
        <v>12</v>
      </c>
      <c r="E475" s="428">
        <v>57627</v>
      </c>
      <c r="F475" s="427">
        <v>0.05</v>
      </c>
      <c r="G475" s="428">
        <v>2881</v>
      </c>
    </row>
    <row r="476" spans="1:7">
      <c r="A476" s="420"/>
      <c r="B476" s="421" t="s">
        <v>220</v>
      </c>
      <c r="C476" s="422" t="s">
        <v>228</v>
      </c>
      <c r="D476" s="423" t="s">
        <v>12</v>
      </c>
      <c r="E476" s="424">
        <v>57627</v>
      </c>
      <c r="F476" s="423">
        <v>0.01</v>
      </c>
      <c r="G476" s="424">
        <v>576</v>
      </c>
    </row>
    <row r="477" spans="1:7">
      <c r="A477" s="413"/>
      <c r="B477" s="416" t="s">
        <v>309</v>
      </c>
      <c r="C477" s="417" t="s">
        <v>312</v>
      </c>
      <c r="D477" s="418"/>
      <c r="E477" s="418"/>
      <c r="F477" s="418"/>
      <c r="G477" s="419"/>
    </row>
    <row r="478" spans="1:7">
      <c r="A478" s="420"/>
      <c r="B478" s="421" t="s">
        <v>156</v>
      </c>
      <c r="C478" s="422" t="s">
        <v>157</v>
      </c>
      <c r="D478" s="423" t="s">
        <v>13</v>
      </c>
      <c r="E478" s="424">
        <v>23915</v>
      </c>
      <c r="F478" s="423">
        <v>0.69</v>
      </c>
      <c r="G478" s="424">
        <v>16501</v>
      </c>
    </row>
    <row r="479" spans="1:7">
      <c r="A479" s="413"/>
      <c r="B479" s="416" t="s">
        <v>309</v>
      </c>
      <c r="C479" s="417" t="s">
        <v>314</v>
      </c>
      <c r="D479" s="418"/>
      <c r="E479" s="418"/>
      <c r="F479" s="418"/>
      <c r="G479" s="419"/>
    </row>
    <row r="480" spans="1:7">
      <c r="A480" s="420"/>
      <c r="B480" s="425" t="s">
        <v>206</v>
      </c>
      <c r="C480" s="426" t="s">
        <v>207</v>
      </c>
      <c r="D480" s="427" t="s">
        <v>5</v>
      </c>
      <c r="E480" s="428">
        <v>590583</v>
      </c>
      <c r="F480" s="427">
        <v>8.0000000000000002E-3</v>
      </c>
      <c r="G480" s="428">
        <v>4725</v>
      </c>
    </row>
    <row r="482" spans="1:7" ht="39">
      <c r="A482" s="408">
        <v>35</v>
      </c>
      <c r="B482" s="409" t="s">
        <v>528</v>
      </c>
      <c r="C482" s="410" t="s">
        <v>529</v>
      </c>
      <c r="D482" s="411" t="s">
        <v>8</v>
      </c>
      <c r="E482" s="412"/>
      <c r="F482" s="394" t="s">
        <v>305</v>
      </c>
      <c r="G482" s="395">
        <v>86837</v>
      </c>
    </row>
    <row r="483" spans="1:7">
      <c r="A483" s="413"/>
      <c r="B483" s="414" t="s">
        <v>306</v>
      </c>
      <c r="C483" s="415" t="s">
        <v>9</v>
      </c>
      <c r="D483" s="415" t="s">
        <v>1</v>
      </c>
      <c r="E483" s="415" t="s">
        <v>307</v>
      </c>
      <c r="F483" s="415" t="s">
        <v>3</v>
      </c>
      <c r="G483" s="415" t="s">
        <v>308</v>
      </c>
    </row>
    <row r="484" spans="1:7">
      <c r="A484" s="413"/>
      <c r="B484" s="416" t="s">
        <v>309</v>
      </c>
      <c r="C484" s="417" t="s">
        <v>313</v>
      </c>
      <c r="D484" s="418"/>
      <c r="E484" s="418"/>
      <c r="F484" s="418"/>
      <c r="G484" s="419"/>
    </row>
    <row r="485" spans="1:7">
      <c r="A485" s="420"/>
      <c r="B485" s="425" t="s">
        <v>230</v>
      </c>
      <c r="C485" s="426" t="s">
        <v>231</v>
      </c>
      <c r="D485" s="427" t="s">
        <v>53</v>
      </c>
      <c r="E485" s="428">
        <v>8030</v>
      </c>
      <c r="F485" s="427">
        <v>0.25</v>
      </c>
      <c r="G485" s="428">
        <v>2008</v>
      </c>
    </row>
    <row r="486" spans="1:7">
      <c r="A486" s="420"/>
      <c r="B486" s="425" t="s">
        <v>530</v>
      </c>
      <c r="C486" s="426" t="s">
        <v>531</v>
      </c>
      <c r="D486" s="427" t="s">
        <v>8</v>
      </c>
      <c r="E486" s="428">
        <v>33886</v>
      </c>
      <c r="F486" s="427">
        <v>1.03</v>
      </c>
      <c r="G486" s="428">
        <v>34903</v>
      </c>
    </row>
    <row r="487" spans="1:7">
      <c r="A487" s="420"/>
      <c r="B487" s="425" t="s">
        <v>151</v>
      </c>
      <c r="C487" s="426" t="s">
        <v>152</v>
      </c>
      <c r="D487" s="427" t="s">
        <v>6</v>
      </c>
      <c r="E487" s="428">
        <v>1733</v>
      </c>
      <c r="F487" s="427">
        <v>0.7</v>
      </c>
      <c r="G487" s="428">
        <v>1213</v>
      </c>
    </row>
    <row r="488" spans="1:7">
      <c r="A488" s="420"/>
      <c r="B488" s="425" t="s">
        <v>532</v>
      </c>
      <c r="C488" s="426" t="s">
        <v>533</v>
      </c>
      <c r="D488" s="427" t="s">
        <v>53</v>
      </c>
      <c r="E488" s="428">
        <v>2749</v>
      </c>
      <c r="F488" s="427">
        <v>4.5</v>
      </c>
      <c r="G488" s="428">
        <v>12371</v>
      </c>
    </row>
    <row r="489" spans="1:7">
      <c r="A489" s="420"/>
      <c r="B489" s="425" t="s">
        <v>534</v>
      </c>
      <c r="C489" s="426" t="s">
        <v>535</v>
      </c>
      <c r="D489" s="427" t="s">
        <v>167</v>
      </c>
      <c r="E489" s="428">
        <v>5244</v>
      </c>
      <c r="F489" s="427">
        <v>0.33</v>
      </c>
      <c r="G489" s="428">
        <v>1731</v>
      </c>
    </row>
    <row r="490" spans="1:7">
      <c r="A490" s="420"/>
      <c r="B490" s="421" t="s">
        <v>191</v>
      </c>
      <c r="C490" s="422" t="s">
        <v>192</v>
      </c>
      <c r="D490" s="423" t="s">
        <v>52</v>
      </c>
      <c r="E490" s="424">
        <v>31</v>
      </c>
      <c r="F490" s="423">
        <v>1.08</v>
      </c>
      <c r="G490" s="424">
        <v>33</v>
      </c>
    </row>
    <row r="491" spans="1:7">
      <c r="A491" s="413"/>
      <c r="B491" s="416" t="s">
        <v>309</v>
      </c>
      <c r="C491" s="417" t="s">
        <v>310</v>
      </c>
      <c r="D491" s="418"/>
      <c r="E491" s="418"/>
      <c r="F491" s="418"/>
      <c r="G491" s="419"/>
    </row>
    <row r="492" spans="1:7">
      <c r="A492" s="420"/>
      <c r="B492" s="421" t="s">
        <v>10</v>
      </c>
      <c r="C492" s="422" t="s">
        <v>11</v>
      </c>
      <c r="D492" s="423" t="s">
        <v>6</v>
      </c>
      <c r="E492" s="424">
        <v>3311</v>
      </c>
      <c r="F492" s="423">
        <v>0.02</v>
      </c>
      <c r="G492" s="424">
        <v>66</v>
      </c>
    </row>
    <row r="493" spans="1:7">
      <c r="A493" s="413"/>
      <c r="B493" s="416" t="s">
        <v>309</v>
      </c>
      <c r="C493" s="417" t="s">
        <v>311</v>
      </c>
      <c r="D493" s="418"/>
      <c r="E493" s="418"/>
      <c r="F493" s="418"/>
      <c r="G493" s="419"/>
    </row>
    <row r="494" spans="1:7">
      <c r="A494" s="420"/>
      <c r="B494" s="421" t="s">
        <v>164</v>
      </c>
      <c r="C494" s="422" t="s">
        <v>165</v>
      </c>
      <c r="D494" s="423" t="s">
        <v>12</v>
      </c>
      <c r="E494" s="424">
        <v>171308</v>
      </c>
      <c r="F494" s="423">
        <v>5.8999999999999999E-3</v>
      </c>
      <c r="G494" s="424">
        <v>1011</v>
      </c>
    </row>
    <row r="495" spans="1:7">
      <c r="A495" s="413"/>
      <c r="B495" s="416" t="s">
        <v>309</v>
      </c>
      <c r="C495" s="417" t="s">
        <v>312</v>
      </c>
      <c r="D495" s="418"/>
      <c r="E495" s="418"/>
      <c r="F495" s="418"/>
      <c r="G495" s="419"/>
    </row>
    <row r="496" spans="1:7">
      <c r="A496" s="420"/>
      <c r="B496" s="421" t="s">
        <v>156</v>
      </c>
      <c r="C496" s="422" t="s">
        <v>157</v>
      </c>
      <c r="D496" s="423" t="s">
        <v>13</v>
      </c>
      <c r="E496" s="424">
        <v>23915</v>
      </c>
      <c r="F496" s="423">
        <v>0.66</v>
      </c>
      <c r="G496" s="424">
        <v>15784</v>
      </c>
    </row>
    <row r="497" spans="1:7">
      <c r="A497" s="413"/>
      <c r="B497" s="416" t="s">
        <v>309</v>
      </c>
      <c r="C497" s="417" t="s">
        <v>314</v>
      </c>
      <c r="D497" s="418"/>
      <c r="E497" s="418"/>
      <c r="F497" s="418"/>
      <c r="G497" s="419"/>
    </row>
    <row r="498" spans="1:7">
      <c r="A498" s="420"/>
      <c r="B498" s="425" t="s">
        <v>206</v>
      </c>
      <c r="C498" s="426" t="s">
        <v>207</v>
      </c>
      <c r="D498" s="427" t="s">
        <v>5</v>
      </c>
      <c r="E498" s="428">
        <v>590583</v>
      </c>
      <c r="F498" s="427">
        <v>0.03</v>
      </c>
      <c r="G498" s="428">
        <v>17717</v>
      </c>
    </row>
    <row r="500" spans="1:7">
      <c r="A500" s="408">
        <v>36</v>
      </c>
      <c r="B500" s="409" t="s">
        <v>536</v>
      </c>
      <c r="C500" s="410" t="s">
        <v>537</v>
      </c>
      <c r="D500" s="411" t="s">
        <v>6</v>
      </c>
      <c r="E500" s="412"/>
      <c r="F500" s="394" t="s">
        <v>305</v>
      </c>
      <c r="G500" s="395">
        <v>43268</v>
      </c>
    </row>
    <row r="501" spans="1:7">
      <c r="A501" s="413"/>
      <c r="B501" s="414" t="s">
        <v>306</v>
      </c>
      <c r="C501" s="415" t="s">
        <v>9</v>
      </c>
      <c r="D501" s="415" t="s">
        <v>1</v>
      </c>
      <c r="E501" s="415" t="s">
        <v>307</v>
      </c>
      <c r="F501" s="415" t="s">
        <v>3</v>
      </c>
      <c r="G501" s="415" t="s">
        <v>308</v>
      </c>
    </row>
    <row r="502" spans="1:7">
      <c r="A502" s="413"/>
      <c r="B502" s="416" t="s">
        <v>309</v>
      </c>
      <c r="C502" s="417" t="s">
        <v>313</v>
      </c>
      <c r="D502" s="418"/>
      <c r="E502" s="418"/>
      <c r="F502" s="418"/>
      <c r="G502" s="419"/>
    </row>
    <row r="503" spans="1:7">
      <c r="A503" s="420"/>
      <c r="B503" s="425" t="s">
        <v>151</v>
      </c>
      <c r="C503" s="426" t="s">
        <v>152</v>
      </c>
      <c r="D503" s="427" t="s">
        <v>6</v>
      </c>
      <c r="E503" s="428">
        <v>1733</v>
      </c>
      <c r="F503" s="427">
        <v>0.53</v>
      </c>
      <c r="G503" s="428">
        <v>918</v>
      </c>
    </row>
    <row r="504" spans="1:7">
      <c r="A504" s="420"/>
      <c r="B504" s="421" t="s">
        <v>538</v>
      </c>
      <c r="C504" s="422" t="s">
        <v>539</v>
      </c>
      <c r="D504" s="423" t="s">
        <v>6</v>
      </c>
      <c r="E504" s="424">
        <v>29777</v>
      </c>
      <c r="F504" s="423">
        <v>1</v>
      </c>
      <c r="G504" s="424">
        <v>29777</v>
      </c>
    </row>
    <row r="505" spans="1:7">
      <c r="A505" s="413"/>
      <c r="B505" s="416" t="s">
        <v>309</v>
      </c>
      <c r="C505" s="417" t="s">
        <v>310</v>
      </c>
      <c r="D505" s="418"/>
      <c r="E505" s="418"/>
      <c r="F505" s="418"/>
      <c r="G505" s="419"/>
    </row>
    <row r="506" spans="1:7">
      <c r="A506" s="420"/>
      <c r="B506" s="421" t="s">
        <v>10</v>
      </c>
      <c r="C506" s="422" t="s">
        <v>11</v>
      </c>
      <c r="D506" s="423" t="s">
        <v>6</v>
      </c>
      <c r="E506" s="424">
        <v>3311</v>
      </c>
      <c r="F506" s="423">
        <v>0.01</v>
      </c>
      <c r="G506" s="424">
        <v>33</v>
      </c>
    </row>
    <row r="507" spans="1:7">
      <c r="A507" s="413"/>
      <c r="B507" s="416" t="s">
        <v>309</v>
      </c>
      <c r="C507" s="417" t="s">
        <v>311</v>
      </c>
      <c r="D507" s="418"/>
      <c r="E507" s="418"/>
      <c r="F507" s="418"/>
      <c r="G507" s="419"/>
    </row>
    <row r="508" spans="1:7">
      <c r="A508" s="420"/>
      <c r="B508" s="421" t="s">
        <v>164</v>
      </c>
      <c r="C508" s="422" t="s">
        <v>165</v>
      </c>
      <c r="D508" s="423" t="s">
        <v>12</v>
      </c>
      <c r="E508" s="424">
        <v>171308</v>
      </c>
      <c r="F508" s="423">
        <v>3.3999999999999998E-3</v>
      </c>
      <c r="G508" s="424">
        <v>582</v>
      </c>
    </row>
    <row r="509" spans="1:7">
      <c r="A509" s="413"/>
      <c r="B509" s="416" t="s">
        <v>309</v>
      </c>
      <c r="C509" s="417" t="s">
        <v>312</v>
      </c>
      <c r="D509" s="418"/>
      <c r="E509" s="418"/>
      <c r="F509" s="418"/>
      <c r="G509" s="419"/>
    </row>
    <row r="510" spans="1:7">
      <c r="A510" s="420"/>
      <c r="B510" s="425" t="s">
        <v>156</v>
      </c>
      <c r="C510" s="426" t="s">
        <v>157</v>
      </c>
      <c r="D510" s="427" t="s">
        <v>13</v>
      </c>
      <c r="E510" s="428">
        <v>23915</v>
      </c>
      <c r="F510" s="427">
        <v>0.5</v>
      </c>
      <c r="G510" s="428">
        <v>11958</v>
      </c>
    </row>
    <row r="512" spans="1:7" ht="26.25">
      <c r="A512" s="408">
        <v>37</v>
      </c>
      <c r="B512" s="409" t="s">
        <v>540</v>
      </c>
      <c r="C512" s="410" t="s">
        <v>541</v>
      </c>
      <c r="D512" s="411" t="s">
        <v>8</v>
      </c>
      <c r="E512" s="412"/>
      <c r="F512" s="394" t="s">
        <v>305</v>
      </c>
      <c r="G512" s="395">
        <v>163373</v>
      </c>
    </row>
    <row r="513" spans="1:7">
      <c r="A513" s="413"/>
      <c r="B513" s="414" t="s">
        <v>306</v>
      </c>
      <c r="C513" s="415" t="s">
        <v>9</v>
      </c>
      <c r="D513" s="415" t="s">
        <v>1</v>
      </c>
      <c r="E513" s="415" t="s">
        <v>307</v>
      </c>
      <c r="F513" s="415" t="s">
        <v>3</v>
      </c>
      <c r="G513" s="415" t="s">
        <v>308</v>
      </c>
    </row>
    <row r="514" spans="1:7">
      <c r="A514" s="413"/>
      <c r="B514" s="416" t="s">
        <v>309</v>
      </c>
      <c r="C514" s="417" t="s">
        <v>313</v>
      </c>
      <c r="D514" s="418"/>
      <c r="E514" s="418"/>
      <c r="F514" s="418"/>
      <c r="G514" s="419"/>
    </row>
    <row r="515" spans="1:7" ht="24.75">
      <c r="A515" s="420"/>
      <c r="B515" s="425" t="s">
        <v>542</v>
      </c>
      <c r="C515" s="426" t="s">
        <v>543</v>
      </c>
      <c r="D515" s="427" t="s">
        <v>8</v>
      </c>
      <c r="E515" s="428">
        <v>163373</v>
      </c>
      <c r="F515" s="427">
        <v>1</v>
      </c>
      <c r="G515" s="428">
        <v>163373</v>
      </c>
    </row>
    <row r="517" spans="1:7" ht="39">
      <c r="A517" s="408">
        <v>38</v>
      </c>
      <c r="B517" s="409" t="s">
        <v>544</v>
      </c>
      <c r="C517" s="410" t="s">
        <v>545</v>
      </c>
      <c r="D517" s="411" t="s">
        <v>6</v>
      </c>
      <c r="E517" s="412"/>
      <c r="F517" s="394" t="s">
        <v>305</v>
      </c>
      <c r="G517" s="395">
        <v>410412</v>
      </c>
    </row>
    <row r="518" spans="1:7">
      <c r="A518" s="413"/>
      <c r="B518" s="414" t="s">
        <v>306</v>
      </c>
      <c r="C518" s="415" t="s">
        <v>9</v>
      </c>
      <c r="D518" s="415" t="s">
        <v>1</v>
      </c>
      <c r="E518" s="415" t="s">
        <v>307</v>
      </c>
      <c r="F518" s="415" t="s">
        <v>3</v>
      </c>
      <c r="G518" s="415" t="s">
        <v>308</v>
      </c>
    </row>
    <row r="519" spans="1:7">
      <c r="A519" s="413"/>
      <c r="B519" s="416" t="s">
        <v>309</v>
      </c>
      <c r="C519" s="417" t="s">
        <v>313</v>
      </c>
      <c r="D519" s="418"/>
      <c r="E519" s="418"/>
      <c r="F519" s="418"/>
      <c r="G519" s="419"/>
    </row>
    <row r="520" spans="1:7">
      <c r="A520" s="420"/>
      <c r="B520" s="425" t="s">
        <v>151</v>
      </c>
      <c r="C520" s="426" t="s">
        <v>152</v>
      </c>
      <c r="D520" s="427" t="s">
        <v>6</v>
      </c>
      <c r="E520" s="428">
        <v>1733</v>
      </c>
      <c r="F520" s="427">
        <v>2.6</v>
      </c>
      <c r="G520" s="428">
        <v>4506</v>
      </c>
    </row>
    <row r="521" spans="1:7" ht="24.75">
      <c r="A521" s="420"/>
      <c r="B521" s="421" t="s">
        <v>546</v>
      </c>
      <c r="C521" s="422" t="s">
        <v>547</v>
      </c>
      <c r="D521" s="423" t="s">
        <v>6</v>
      </c>
      <c r="E521" s="424">
        <v>341379</v>
      </c>
      <c r="F521" s="423">
        <v>1</v>
      </c>
      <c r="G521" s="424">
        <v>341379</v>
      </c>
    </row>
    <row r="522" spans="1:7">
      <c r="A522" s="413"/>
      <c r="B522" s="416" t="s">
        <v>309</v>
      </c>
      <c r="C522" s="417" t="s">
        <v>310</v>
      </c>
      <c r="D522" s="418"/>
      <c r="E522" s="418"/>
      <c r="F522" s="418"/>
      <c r="G522" s="419"/>
    </row>
    <row r="523" spans="1:7">
      <c r="A523" s="420"/>
      <c r="B523" s="421" t="s">
        <v>10</v>
      </c>
      <c r="C523" s="422" t="s">
        <v>11</v>
      </c>
      <c r="D523" s="423" t="s">
        <v>6</v>
      </c>
      <c r="E523" s="424">
        <v>3311</v>
      </c>
      <c r="F523" s="423">
        <v>0.1</v>
      </c>
      <c r="G523" s="424">
        <v>331</v>
      </c>
    </row>
    <row r="524" spans="1:7">
      <c r="A524" s="413"/>
      <c r="B524" s="416" t="s">
        <v>309</v>
      </c>
      <c r="C524" s="417" t="s">
        <v>311</v>
      </c>
      <c r="D524" s="418"/>
      <c r="E524" s="418"/>
      <c r="F524" s="418"/>
      <c r="G524" s="419"/>
    </row>
    <row r="525" spans="1:7">
      <c r="A525" s="420"/>
      <c r="B525" s="421" t="s">
        <v>164</v>
      </c>
      <c r="C525" s="422" t="s">
        <v>165</v>
      </c>
      <c r="D525" s="423" t="s">
        <v>12</v>
      </c>
      <c r="E525" s="424">
        <v>171308</v>
      </c>
      <c r="F525" s="423">
        <v>2.6200000000000001E-2</v>
      </c>
      <c r="G525" s="424">
        <v>4488</v>
      </c>
    </row>
    <row r="526" spans="1:7">
      <c r="A526" s="413"/>
      <c r="B526" s="416" t="s">
        <v>309</v>
      </c>
      <c r="C526" s="417" t="s">
        <v>312</v>
      </c>
      <c r="D526" s="418"/>
      <c r="E526" s="418"/>
      <c r="F526" s="418"/>
      <c r="G526" s="419"/>
    </row>
    <row r="527" spans="1:7">
      <c r="A527" s="420"/>
      <c r="B527" s="425" t="s">
        <v>10</v>
      </c>
      <c r="C527" s="426" t="s">
        <v>199</v>
      </c>
      <c r="D527" s="427" t="s">
        <v>13</v>
      </c>
      <c r="E527" s="428">
        <v>26303</v>
      </c>
      <c r="F527" s="427">
        <v>2.27</v>
      </c>
      <c r="G527" s="428">
        <v>59708</v>
      </c>
    </row>
    <row r="529" spans="1:7" ht="51.75">
      <c r="A529" s="408">
        <v>39</v>
      </c>
      <c r="B529" s="409" t="s">
        <v>548</v>
      </c>
      <c r="C529" s="410" t="s">
        <v>549</v>
      </c>
      <c r="D529" s="411" t="s">
        <v>6</v>
      </c>
      <c r="E529" s="412"/>
      <c r="F529" s="394" t="s">
        <v>305</v>
      </c>
      <c r="G529" s="395">
        <v>348147</v>
      </c>
    </row>
    <row r="530" spans="1:7">
      <c r="A530" s="413"/>
      <c r="B530" s="414" t="s">
        <v>306</v>
      </c>
      <c r="C530" s="415" t="s">
        <v>9</v>
      </c>
      <c r="D530" s="415" t="s">
        <v>1</v>
      </c>
      <c r="E530" s="415" t="s">
        <v>307</v>
      </c>
      <c r="F530" s="415" t="s">
        <v>3</v>
      </c>
      <c r="G530" s="415" t="s">
        <v>308</v>
      </c>
    </row>
    <row r="531" spans="1:7">
      <c r="A531" s="413"/>
      <c r="B531" s="416" t="s">
        <v>309</v>
      </c>
      <c r="C531" s="417" t="s">
        <v>313</v>
      </c>
      <c r="D531" s="418"/>
      <c r="E531" s="418"/>
      <c r="F531" s="418"/>
      <c r="G531" s="419"/>
    </row>
    <row r="532" spans="1:7">
      <c r="A532" s="420"/>
      <c r="B532" s="425" t="s">
        <v>151</v>
      </c>
      <c r="C532" s="426" t="s">
        <v>152</v>
      </c>
      <c r="D532" s="427" t="s">
        <v>6</v>
      </c>
      <c r="E532" s="428">
        <v>1733</v>
      </c>
      <c r="F532" s="427">
        <v>1.3</v>
      </c>
      <c r="G532" s="428">
        <v>2253</v>
      </c>
    </row>
    <row r="533" spans="1:7">
      <c r="A533" s="420"/>
      <c r="B533" s="425" t="s">
        <v>550</v>
      </c>
      <c r="C533" s="426" t="s">
        <v>551</v>
      </c>
      <c r="D533" s="427" t="s">
        <v>6</v>
      </c>
      <c r="E533" s="428">
        <v>4971</v>
      </c>
      <c r="F533" s="427">
        <v>1</v>
      </c>
      <c r="G533" s="428">
        <v>4971</v>
      </c>
    </row>
    <row r="534" spans="1:7" ht="24.75">
      <c r="A534" s="420"/>
      <c r="B534" s="425" t="s">
        <v>552</v>
      </c>
      <c r="C534" s="426" t="s">
        <v>553</v>
      </c>
      <c r="D534" s="427" t="s">
        <v>6</v>
      </c>
      <c r="E534" s="428">
        <v>183541</v>
      </c>
      <c r="F534" s="427">
        <v>1</v>
      </c>
      <c r="G534" s="428">
        <v>183541</v>
      </c>
    </row>
    <row r="535" spans="1:7" ht="24.75">
      <c r="A535" s="420"/>
      <c r="B535" s="421" t="s">
        <v>380</v>
      </c>
      <c r="C535" s="422" t="s">
        <v>554</v>
      </c>
      <c r="D535" s="423" t="s">
        <v>6</v>
      </c>
      <c r="E535" s="424">
        <v>120051</v>
      </c>
      <c r="F535" s="423">
        <v>1</v>
      </c>
      <c r="G535" s="424">
        <v>120051</v>
      </c>
    </row>
    <row r="536" spans="1:7">
      <c r="A536" s="413"/>
      <c r="B536" s="416" t="s">
        <v>309</v>
      </c>
      <c r="C536" s="417" t="s">
        <v>310</v>
      </c>
      <c r="D536" s="418"/>
      <c r="E536" s="418"/>
      <c r="F536" s="418"/>
      <c r="G536" s="419"/>
    </row>
    <row r="537" spans="1:7">
      <c r="A537" s="420"/>
      <c r="B537" s="421" t="s">
        <v>10</v>
      </c>
      <c r="C537" s="422" t="s">
        <v>11</v>
      </c>
      <c r="D537" s="423" t="s">
        <v>6</v>
      </c>
      <c r="E537" s="424">
        <v>3311</v>
      </c>
      <c r="F537" s="423">
        <v>0.1</v>
      </c>
      <c r="G537" s="424">
        <v>331</v>
      </c>
    </row>
    <row r="538" spans="1:7">
      <c r="A538" s="413"/>
      <c r="B538" s="416" t="s">
        <v>309</v>
      </c>
      <c r="C538" s="417" t="s">
        <v>311</v>
      </c>
      <c r="D538" s="418"/>
      <c r="E538" s="418"/>
      <c r="F538" s="418"/>
      <c r="G538" s="419"/>
    </row>
    <row r="539" spans="1:7">
      <c r="A539" s="420"/>
      <c r="B539" s="421" t="s">
        <v>164</v>
      </c>
      <c r="C539" s="422" t="s">
        <v>165</v>
      </c>
      <c r="D539" s="423" t="s">
        <v>12</v>
      </c>
      <c r="E539" s="424">
        <v>171308</v>
      </c>
      <c r="F539" s="423">
        <v>3.4799999999999998E-2</v>
      </c>
      <c r="G539" s="424">
        <v>5962</v>
      </c>
    </row>
    <row r="540" spans="1:7">
      <c r="A540" s="413"/>
      <c r="B540" s="416" t="s">
        <v>309</v>
      </c>
      <c r="C540" s="417" t="s">
        <v>312</v>
      </c>
      <c r="D540" s="418"/>
      <c r="E540" s="418"/>
      <c r="F540" s="418"/>
      <c r="G540" s="419"/>
    </row>
    <row r="541" spans="1:7">
      <c r="A541" s="420"/>
      <c r="B541" s="425" t="s">
        <v>10</v>
      </c>
      <c r="C541" s="426" t="s">
        <v>199</v>
      </c>
      <c r="D541" s="427" t="s">
        <v>13</v>
      </c>
      <c r="E541" s="428">
        <v>26303</v>
      </c>
      <c r="F541" s="427">
        <v>1.18</v>
      </c>
      <c r="G541" s="428">
        <v>31038</v>
      </c>
    </row>
    <row r="543" spans="1:7" ht="39">
      <c r="A543" s="408">
        <v>40</v>
      </c>
      <c r="B543" s="409" t="s">
        <v>555</v>
      </c>
      <c r="C543" s="410" t="s">
        <v>556</v>
      </c>
      <c r="D543" s="411" t="s">
        <v>6</v>
      </c>
      <c r="E543" s="412"/>
      <c r="F543" s="394" t="s">
        <v>305</v>
      </c>
      <c r="G543" s="395">
        <v>216598</v>
      </c>
    </row>
    <row r="544" spans="1:7">
      <c r="A544" s="413"/>
      <c r="B544" s="414" t="s">
        <v>306</v>
      </c>
      <c r="C544" s="415" t="s">
        <v>9</v>
      </c>
      <c r="D544" s="415" t="s">
        <v>1</v>
      </c>
      <c r="E544" s="415" t="s">
        <v>307</v>
      </c>
      <c r="F544" s="415" t="s">
        <v>3</v>
      </c>
      <c r="G544" s="415" t="s">
        <v>308</v>
      </c>
    </row>
    <row r="545" spans="1:7">
      <c r="A545" s="413"/>
      <c r="B545" s="416" t="s">
        <v>309</v>
      </c>
      <c r="C545" s="417" t="s">
        <v>313</v>
      </c>
      <c r="D545" s="418"/>
      <c r="E545" s="418"/>
      <c r="F545" s="418"/>
      <c r="G545" s="419"/>
    </row>
    <row r="546" spans="1:7">
      <c r="A546" s="420"/>
      <c r="B546" s="425" t="s">
        <v>151</v>
      </c>
      <c r="C546" s="426" t="s">
        <v>152</v>
      </c>
      <c r="D546" s="427" t="s">
        <v>6</v>
      </c>
      <c r="E546" s="428">
        <v>1733</v>
      </c>
      <c r="F546" s="427">
        <v>1.1000000000000001</v>
      </c>
      <c r="G546" s="428">
        <v>1906</v>
      </c>
    </row>
    <row r="547" spans="1:7" ht="24.75">
      <c r="A547" s="420"/>
      <c r="B547" s="421" t="s">
        <v>552</v>
      </c>
      <c r="C547" s="422" t="s">
        <v>553</v>
      </c>
      <c r="D547" s="423" t="s">
        <v>6</v>
      </c>
      <c r="E547" s="424">
        <v>183541</v>
      </c>
      <c r="F547" s="423">
        <v>1</v>
      </c>
      <c r="G547" s="424">
        <v>183541</v>
      </c>
    </row>
    <row r="548" spans="1:7">
      <c r="A548" s="413"/>
      <c r="B548" s="416" t="s">
        <v>309</v>
      </c>
      <c r="C548" s="417" t="s">
        <v>310</v>
      </c>
      <c r="D548" s="418"/>
      <c r="E548" s="418"/>
      <c r="F548" s="418"/>
      <c r="G548" s="419"/>
    </row>
    <row r="549" spans="1:7">
      <c r="A549" s="420"/>
      <c r="B549" s="421" t="s">
        <v>10</v>
      </c>
      <c r="C549" s="422" t="s">
        <v>11</v>
      </c>
      <c r="D549" s="423" t="s">
        <v>6</v>
      </c>
      <c r="E549" s="424">
        <v>3311</v>
      </c>
      <c r="F549" s="423">
        <v>0.1</v>
      </c>
      <c r="G549" s="424">
        <v>331</v>
      </c>
    </row>
    <row r="550" spans="1:7">
      <c r="A550" s="413"/>
      <c r="B550" s="416" t="s">
        <v>309</v>
      </c>
      <c r="C550" s="417" t="s">
        <v>311</v>
      </c>
      <c r="D550" s="418"/>
      <c r="E550" s="418"/>
      <c r="F550" s="418"/>
      <c r="G550" s="419"/>
    </row>
    <row r="551" spans="1:7">
      <c r="A551" s="420"/>
      <c r="B551" s="421" t="s">
        <v>164</v>
      </c>
      <c r="C551" s="422" t="s">
        <v>165</v>
      </c>
      <c r="D551" s="423" t="s">
        <v>12</v>
      </c>
      <c r="E551" s="424">
        <v>171308</v>
      </c>
      <c r="F551" s="423">
        <v>2.3300000000000001E-2</v>
      </c>
      <c r="G551" s="424">
        <v>3991</v>
      </c>
    </row>
    <row r="552" spans="1:7">
      <c r="A552" s="413"/>
      <c r="B552" s="416" t="s">
        <v>309</v>
      </c>
      <c r="C552" s="417" t="s">
        <v>312</v>
      </c>
      <c r="D552" s="418"/>
      <c r="E552" s="418"/>
      <c r="F552" s="418"/>
      <c r="G552" s="419"/>
    </row>
    <row r="553" spans="1:7">
      <c r="A553" s="420"/>
      <c r="B553" s="425" t="s">
        <v>10</v>
      </c>
      <c r="C553" s="426" t="s">
        <v>199</v>
      </c>
      <c r="D553" s="427" t="s">
        <v>13</v>
      </c>
      <c r="E553" s="428">
        <v>26303</v>
      </c>
      <c r="F553" s="427">
        <v>1.02</v>
      </c>
      <c r="G553" s="428">
        <v>26829</v>
      </c>
    </row>
    <row r="555" spans="1:7" ht="39">
      <c r="A555" s="408">
        <v>41</v>
      </c>
      <c r="B555" s="409" t="s">
        <v>185</v>
      </c>
      <c r="C555" s="410" t="s">
        <v>187</v>
      </c>
      <c r="D555" s="411" t="s">
        <v>8</v>
      </c>
      <c r="E555" s="412"/>
      <c r="F555" s="394" t="s">
        <v>305</v>
      </c>
      <c r="G555" s="395">
        <v>23330</v>
      </c>
    </row>
    <row r="556" spans="1:7">
      <c r="A556" s="413"/>
      <c r="B556" s="414" t="s">
        <v>306</v>
      </c>
      <c r="C556" s="415" t="s">
        <v>9</v>
      </c>
      <c r="D556" s="415" t="s">
        <v>1</v>
      </c>
      <c r="E556" s="415" t="s">
        <v>307</v>
      </c>
      <c r="F556" s="415" t="s">
        <v>3</v>
      </c>
      <c r="G556" s="415" t="s">
        <v>308</v>
      </c>
    </row>
    <row r="557" spans="1:7">
      <c r="A557" s="413"/>
      <c r="B557" s="416" t="s">
        <v>309</v>
      </c>
      <c r="C557" s="417" t="s">
        <v>313</v>
      </c>
      <c r="D557" s="418"/>
      <c r="E557" s="418"/>
      <c r="F557" s="418"/>
      <c r="G557" s="419"/>
    </row>
    <row r="558" spans="1:7">
      <c r="A558" s="420"/>
      <c r="B558" s="425" t="s">
        <v>210</v>
      </c>
      <c r="C558" s="426" t="s">
        <v>243</v>
      </c>
      <c r="D558" s="427" t="s">
        <v>172</v>
      </c>
      <c r="E558" s="428">
        <v>26405</v>
      </c>
      <c r="F558" s="427">
        <v>0.05</v>
      </c>
      <c r="G558" s="428">
        <v>1320</v>
      </c>
    </row>
    <row r="559" spans="1:7">
      <c r="A559" s="420"/>
      <c r="B559" s="425" t="s">
        <v>240</v>
      </c>
      <c r="C559" s="426" t="s">
        <v>244</v>
      </c>
      <c r="D559" s="427" t="s">
        <v>172</v>
      </c>
      <c r="E559" s="428">
        <v>64610</v>
      </c>
      <c r="F559" s="427">
        <v>0.04</v>
      </c>
      <c r="G559" s="428">
        <v>2584</v>
      </c>
    </row>
    <row r="560" spans="1:7">
      <c r="A560" s="420"/>
      <c r="B560" s="425" t="s">
        <v>241</v>
      </c>
      <c r="C560" s="426" t="s">
        <v>245</v>
      </c>
      <c r="D560" s="427" t="s">
        <v>172</v>
      </c>
      <c r="E560" s="428">
        <v>93454</v>
      </c>
      <c r="F560" s="427">
        <v>0.08</v>
      </c>
      <c r="G560" s="428">
        <v>7476</v>
      </c>
    </row>
    <row r="561" spans="1:7">
      <c r="A561" s="420"/>
      <c r="B561" s="425" t="s">
        <v>151</v>
      </c>
      <c r="C561" s="426" t="s">
        <v>152</v>
      </c>
      <c r="D561" s="427" t="s">
        <v>6</v>
      </c>
      <c r="E561" s="428">
        <v>1733</v>
      </c>
      <c r="F561" s="427">
        <v>0.45</v>
      </c>
      <c r="G561" s="428">
        <v>780</v>
      </c>
    </row>
    <row r="562" spans="1:7">
      <c r="A562" s="420"/>
      <c r="B562" s="421" t="s">
        <v>242</v>
      </c>
      <c r="C562" s="422" t="s">
        <v>246</v>
      </c>
      <c r="D562" s="423" t="s">
        <v>6</v>
      </c>
      <c r="E562" s="424">
        <v>4429</v>
      </c>
      <c r="F562" s="423">
        <v>0.02</v>
      </c>
      <c r="G562" s="424">
        <v>89</v>
      </c>
    </row>
    <row r="563" spans="1:7">
      <c r="A563" s="413"/>
      <c r="B563" s="416" t="s">
        <v>309</v>
      </c>
      <c r="C563" s="417" t="s">
        <v>310</v>
      </c>
      <c r="D563" s="418"/>
      <c r="E563" s="418"/>
      <c r="F563" s="418"/>
      <c r="G563" s="419"/>
    </row>
    <row r="564" spans="1:7">
      <c r="A564" s="420"/>
      <c r="B564" s="421" t="s">
        <v>10</v>
      </c>
      <c r="C564" s="422" t="s">
        <v>11</v>
      </c>
      <c r="D564" s="423" t="s">
        <v>6</v>
      </c>
      <c r="E564" s="424">
        <v>3311</v>
      </c>
      <c r="F564" s="423">
        <v>0.05</v>
      </c>
      <c r="G564" s="424">
        <v>166</v>
      </c>
    </row>
    <row r="565" spans="1:7">
      <c r="A565" s="413"/>
      <c r="B565" s="416" t="s">
        <v>309</v>
      </c>
      <c r="C565" s="417" t="s">
        <v>311</v>
      </c>
      <c r="D565" s="418"/>
      <c r="E565" s="418"/>
      <c r="F565" s="418"/>
      <c r="G565" s="419"/>
    </row>
    <row r="566" spans="1:7">
      <c r="A566" s="420"/>
      <c r="B566" s="425" t="s">
        <v>164</v>
      </c>
      <c r="C566" s="426" t="s">
        <v>165</v>
      </c>
      <c r="D566" s="427" t="s">
        <v>12</v>
      </c>
      <c r="E566" s="428">
        <v>171308</v>
      </c>
      <c r="F566" s="427">
        <v>1E-3</v>
      </c>
      <c r="G566" s="428">
        <v>171</v>
      </c>
    </row>
    <row r="567" spans="1:7" ht="24.75">
      <c r="A567" s="420"/>
      <c r="B567" s="421" t="s">
        <v>156</v>
      </c>
      <c r="C567" s="422" t="s">
        <v>176</v>
      </c>
      <c r="D567" s="423" t="s">
        <v>6</v>
      </c>
      <c r="E567" s="424">
        <v>9475</v>
      </c>
      <c r="F567" s="423">
        <v>0.06</v>
      </c>
      <c r="G567" s="424">
        <v>569</v>
      </c>
    </row>
    <row r="568" spans="1:7">
      <c r="A568" s="413"/>
      <c r="B568" s="416" t="s">
        <v>309</v>
      </c>
      <c r="C568" s="417" t="s">
        <v>312</v>
      </c>
      <c r="D568" s="418"/>
      <c r="E568" s="418"/>
      <c r="F568" s="418"/>
      <c r="G568" s="419"/>
    </row>
    <row r="569" spans="1:7">
      <c r="A569" s="420"/>
      <c r="B569" s="425" t="s">
        <v>168</v>
      </c>
      <c r="C569" s="426" t="s">
        <v>247</v>
      </c>
      <c r="D569" s="427" t="s">
        <v>13</v>
      </c>
      <c r="E569" s="428">
        <v>27500</v>
      </c>
      <c r="F569" s="427">
        <v>0.37</v>
      </c>
      <c r="G569" s="428">
        <v>10175</v>
      </c>
    </row>
    <row r="571" spans="1:7" ht="51.75">
      <c r="A571" s="408">
        <v>42</v>
      </c>
      <c r="B571" s="409" t="s">
        <v>186</v>
      </c>
      <c r="C571" s="410" t="s">
        <v>188</v>
      </c>
      <c r="D571" s="411" t="s">
        <v>8</v>
      </c>
      <c r="E571" s="412"/>
      <c r="F571" s="394" t="s">
        <v>305</v>
      </c>
      <c r="G571" s="395">
        <v>27238</v>
      </c>
    </row>
    <row r="572" spans="1:7">
      <c r="A572" s="413"/>
      <c r="B572" s="414" t="s">
        <v>306</v>
      </c>
      <c r="C572" s="415" t="s">
        <v>9</v>
      </c>
      <c r="D572" s="415" t="s">
        <v>1</v>
      </c>
      <c r="E572" s="415" t="s">
        <v>307</v>
      </c>
      <c r="F572" s="415" t="s">
        <v>3</v>
      </c>
      <c r="G572" s="415" t="s">
        <v>308</v>
      </c>
    </row>
    <row r="573" spans="1:7">
      <c r="A573" s="413"/>
      <c r="B573" s="416" t="s">
        <v>309</v>
      </c>
      <c r="C573" s="417" t="s">
        <v>313</v>
      </c>
      <c r="D573" s="418"/>
      <c r="E573" s="418"/>
      <c r="F573" s="418"/>
      <c r="G573" s="419"/>
    </row>
    <row r="574" spans="1:7">
      <c r="A574" s="420"/>
      <c r="B574" s="425" t="s">
        <v>248</v>
      </c>
      <c r="C574" s="426" t="s">
        <v>249</v>
      </c>
      <c r="D574" s="427" t="s">
        <v>172</v>
      </c>
      <c r="E574" s="428">
        <v>28464</v>
      </c>
      <c r="F574" s="427">
        <v>0.05</v>
      </c>
      <c r="G574" s="428">
        <v>1423</v>
      </c>
    </row>
    <row r="575" spans="1:7">
      <c r="A575" s="420"/>
      <c r="B575" s="425" t="s">
        <v>240</v>
      </c>
      <c r="C575" s="426" t="s">
        <v>244</v>
      </c>
      <c r="D575" s="427" t="s">
        <v>172</v>
      </c>
      <c r="E575" s="428">
        <v>64610</v>
      </c>
      <c r="F575" s="427">
        <v>0.04</v>
      </c>
      <c r="G575" s="428">
        <v>2584</v>
      </c>
    </row>
    <row r="576" spans="1:7">
      <c r="A576" s="420"/>
      <c r="B576" s="425" t="s">
        <v>250</v>
      </c>
      <c r="C576" s="426" t="s">
        <v>251</v>
      </c>
      <c r="D576" s="427" t="s">
        <v>172</v>
      </c>
      <c r="E576" s="428">
        <v>111435</v>
      </c>
      <c r="F576" s="427">
        <v>0.1</v>
      </c>
      <c r="G576" s="428">
        <v>11144</v>
      </c>
    </row>
    <row r="577" spans="1:7">
      <c r="A577" s="420"/>
      <c r="B577" s="425" t="s">
        <v>151</v>
      </c>
      <c r="C577" s="426" t="s">
        <v>152</v>
      </c>
      <c r="D577" s="427" t="s">
        <v>6</v>
      </c>
      <c r="E577" s="428">
        <v>1733</v>
      </c>
      <c r="F577" s="427">
        <v>0.45</v>
      </c>
      <c r="G577" s="428">
        <v>780</v>
      </c>
    </row>
    <row r="578" spans="1:7">
      <c r="A578" s="420"/>
      <c r="B578" s="421" t="s">
        <v>242</v>
      </c>
      <c r="C578" s="422" t="s">
        <v>246</v>
      </c>
      <c r="D578" s="423" t="s">
        <v>6</v>
      </c>
      <c r="E578" s="424">
        <v>4429</v>
      </c>
      <c r="F578" s="423">
        <v>0.02</v>
      </c>
      <c r="G578" s="424">
        <v>89</v>
      </c>
    </row>
    <row r="579" spans="1:7">
      <c r="A579" s="413"/>
      <c r="B579" s="416" t="s">
        <v>309</v>
      </c>
      <c r="C579" s="417" t="s">
        <v>310</v>
      </c>
      <c r="D579" s="418"/>
      <c r="E579" s="418"/>
      <c r="F579" s="418"/>
      <c r="G579" s="419"/>
    </row>
    <row r="580" spans="1:7">
      <c r="A580" s="420"/>
      <c r="B580" s="421" t="s">
        <v>10</v>
      </c>
      <c r="C580" s="422" t="s">
        <v>11</v>
      </c>
      <c r="D580" s="423" t="s">
        <v>6</v>
      </c>
      <c r="E580" s="424">
        <v>3311</v>
      </c>
      <c r="F580" s="423">
        <v>0.05</v>
      </c>
      <c r="G580" s="424">
        <v>166</v>
      </c>
    </row>
    <row r="581" spans="1:7">
      <c r="A581" s="413"/>
      <c r="B581" s="416" t="s">
        <v>309</v>
      </c>
      <c r="C581" s="417" t="s">
        <v>311</v>
      </c>
      <c r="D581" s="418"/>
      <c r="E581" s="418"/>
      <c r="F581" s="418"/>
      <c r="G581" s="419"/>
    </row>
    <row r="582" spans="1:7" ht="24.75">
      <c r="A582" s="420"/>
      <c r="B582" s="425" t="s">
        <v>156</v>
      </c>
      <c r="C582" s="426" t="s">
        <v>176</v>
      </c>
      <c r="D582" s="427" t="s">
        <v>6</v>
      </c>
      <c r="E582" s="428">
        <v>9475</v>
      </c>
      <c r="F582" s="427">
        <v>0.06</v>
      </c>
      <c r="G582" s="428">
        <v>569</v>
      </c>
    </row>
    <row r="583" spans="1:7">
      <c r="A583" s="420"/>
      <c r="B583" s="421" t="s">
        <v>164</v>
      </c>
      <c r="C583" s="422" t="s">
        <v>165</v>
      </c>
      <c r="D583" s="423" t="s">
        <v>12</v>
      </c>
      <c r="E583" s="424">
        <v>171308</v>
      </c>
      <c r="F583" s="423">
        <v>1.8E-3</v>
      </c>
      <c r="G583" s="424">
        <v>308</v>
      </c>
    </row>
    <row r="584" spans="1:7">
      <c r="A584" s="413"/>
      <c r="B584" s="416" t="s">
        <v>309</v>
      </c>
      <c r="C584" s="417" t="s">
        <v>312</v>
      </c>
      <c r="D584" s="418"/>
      <c r="E584" s="418"/>
      <c r="F584" s="418"/>
      <c r="G584" s="419"/>
    </row>
    <row r="585" spans="1:7">
      <c r="A585" s="420"/>
      <c r="B585" s="425" t="s">
        <v>168</v>
      </c>
      <c r="C585" s="426" t="s">
        <v>247</v>
      </c>
      <c r="D585" s="427" t="s">
        <v>13</v>
      </c>
      <c r="E585" s="428">
        <v>27500</v>
      </c>
      <c r="F585" s="427">
        <v>0.37</v>
      </c>
      <c r="G585" s="428">
        <v>10175</v>
      </c>
    </row>
    <row r="587" spans="1:7" ht="39">
      <c r="A587" s="408">
        <v>43</v>
      </c>
      <c r="B587" s="409" t="s">
        <v>388</v>
      </c>
      <c r="C587" s="410" t="s">
        <v>389</v>
      </c>
      <c r="D587" s="411" t="s">
        <v>6</v>
      </c>
      <c r="E587" s="412"/>
      <c r="F587" s="394" t="s">
        <v>305</v>
      </c>
      <c r="G587" s="395">
        <v>767526</v>
      </c>
    </row>
    <row r="588" spans="1:7">
      <c r="A588" s="413"/>
      <c r="B588" s="414" t="s">
        <v>306</v>
      </c>
      <c r="C588" s="415" t="s">
        <v>9</v>
      </c>
      <c r="D588" s="415" t="s">
        <v>1</v>
      </c>
      <c r="E588" s="415" t="s">
        <v>307</v>
      </c>
      <c r="F588" s="415" t="s">
        <v>3</v>
      </c>
      <c r="G588" s="415" t="s">
        <v>308</v>
      </c>
    </row>
    <row r="589" spans="1:7">
      <c r="A589" s="413"/>
      <c r="B589" s="416" t="s">
        <v>309</v>
      </c>
      <c r="C589" s="417" t="s">
        <v>313</v>
      </c>
      <c r="D589" s="418"/>
      <c r="E589" s="418"/>
      <c r="F589" s="418"/>
      <c r="G589" s="419"/>
    </row>
    <row r="590" spans="1:7">
      <c r="A590" s="420"/>
      <c r="B590" s="425" t="s">
        <v>151</v>
      </c>
      <c r="C590" s="426" t="s">
        <v>152</v>
      </c>
      <c r="D590" s="427" t="s">
        <v>6</v>
      </c>
      <c r="E590" s="428">
        <v>1733</v>
      </c>
      <c r="F590" s="427">
        <v>4</v>
      </c>
      <c r="G590" s="428">
        <v>6932</v>
      </c>
    </row>
    <row r="591" spans="1:7" ht="24.75">
      <c r="A591" s="420"/>
      <c r="B591" s="425" t="s">
        <v>390</v>
      </c>
      <c r="C591" s="426" t="s">
        <v>391</v>
      </c>
      <c r="D591" s="427" t="s">
        <v>172</v>
      </c>
      <c r="E591" s="428">
        <v>119675</v>
      </c>
      <c r="F591" s="427">
        <v>2.66</v>
      </c>
      <c r="G591" s="428">
        <v>318336</v>
      </c>
    </row>
    <row r="592" spans="1:7">
      <c r="A592" s="420"/>
      <c r="B592" s="421" t="s">
        <v>392</v>
      </c>
      <c r="C592" s="422" t="s">
        <v>393</v>
      </c>
      <c r="D592" s="423" t="s">
        <v>270</v>
      </c>
      <c r="E592" s="424">
        <v>14981</v>
      </c>
      <c r="F592" s="423">
        <v>2</v>
      </c>
      <c r="G592" s="424">
        <v>29962</v>
      </c>
    </row>
    <row r="593" spans="1:7">
      <c r="A593" s="413"/>
      <c r="B593" s="416" t="s">
        <v>309</v>
      </c>
      <c r="C593" s="417" t="s">
        <v>310</v>
      </c>
      <c r="D593" s="418"/>
      <c r="E593" s="418"/>
      <c r="F593" s="418"/>
      <c r="G593" s="419"/>
    </row>
    <row r="594" spans="1:7">
      <c r="A594" s="420"/>
      <c r="B594" s="421" t="s">
        <v>10</v>
      </c>
      <c r="C594" s="422" t="s">
        <v>11</v>
      </c>
      <c r="D594" s="423" t="s">
        <v>6</v>
      </c>
      <c r="E594" s="424">
        <v>3311</v>
      </c>
      <c r="F594" s="423">
        <v>0.5</v>
      </c>
      <c r="G594" s="424">
        <v>1656</v>
      </c>
    </row>
    <row r="595" spans="1:7">
      <c r="A595" s="413"/>
      <c r="B595" s="416" t="s">
        <v>309</v>
      </c>
      <c r="C595" s="417" t="s">
        <v>311</v>
      </c>
      <c r="D595" s="418"/>
      <c r="E595" s="418"/>
      <c r="F595" s="418"/>
      <c r="G595" s="419"/>
    </row>
    <row r="596" spans="1:7">
      <c r="A596" s="420"/>
      <c r="B596" s="421" t="s">
        <v>164</v>
      </c>
      <c r="C596" s="422" t="s">
        <v>165</v>
      </c>
      <c r="D596" s="423" t="s">
        <v>12</v>
      </c>
      <c r="E596" s="424">
        <v>171308</v>
      </c>
      <c r="F596" s="423">
        <v>2.5999999999999999E-2</v>
      </c>
      <c r="G596" s="424">
        <v>4454</v>
      </c>
    </row>
    <row r="597" spans="1:7">
      <c r="A597" s="413"/>
      <c r="B597" s="416" t="s">
        <v>309</v>
      </c>
      <c r="C597" s="417" t="s">
        <v>312</v>
      </c>
      <c r="D597" s="418"/>
      <c r="E597" s="418"/>
      <c r="F597" s="418"/>
      <c r="G597" s="419"/>
    </row>
    <row r="598" spans="1:7">
      <c r="A598" s="420"/>
      <c r="B598" s="425" t="s">
        <v>160</v>
      </c>
      <c r="C598" s="426" t="s">
        <v>161</v>
      </c>
      <c r="D598" s="427" t="s">
        <v>13</v>
      </c>
      <c r="E598" s="428">
        <v>42311</v>
      </c>
      <c r="F598" s="427">
        <v>9.6</v>
      </c>
      <c r="G598" s="428">
        <v>406186</v>
      </c>
    </row>
    <row r="600" spans="1:7" ht="39">
      <c r="A600" s="408">
        <v>44</v>
      </c>
      <c r="B600" s="409" t="s">
        <v>394</v>
      </c>
      <c r="C600" s="410" t="s">
        <v>395</v>
      </c>
      <c r="D600" s="411" t="s">
        <v>8</v>
      </c>
      <c r="E600" s="412"/>
      <c r="F600" s="394" t="s">
        <v>305</v>
      </c>
      <c r="G600" s="395">
        <v>26239</v>
      </c>
    </row>
    <row r="601" spans="1:7">
      <c r="A601" s="413"/>
      <c r="B601" s="414" t="s">
        <v>306</v>
      </c>
      <c r="C601" s="415" t="s">
        <v>9</v>
      </c>
      <c r="D601" s="415" t="s">
        <v>1</v>
      </c>
      <c r="E601" s="415" t="s">
        <v>307</v>
      </c>
      <c r="F601" s="415" t="s">
        <v>3</v>
      </c>
      <c r="G601" s="415" t="s">
        <v>308</v>
      </c>
    </row>
    <row r="602" spans="1:7">
      <c r="A602" s="413"/>
      <c r="B602" s="416" t="s">
        <v>309</v>
      </c>
      <c r="C602" s="417" t="s">
        <v>313</v>
      </c>
      <c r="D602" s="418"/>
      <c r="E602" s="418"/>
      <c r="F602" s="418"/>
      <c r="G602" s="419"/>
    </row>
    <row r="603" spans="1:7">
      <c r="A603" s="420"/>
      <c r="B603" s="425" t="s">
        <v>151</v>
      </c>
      <c r="C603" s="426" t="s">
        <v>152</v>
      </c>
      <c r="D603" s="427" t="s">
        <v>6</v>
      </c>
      <c r="E603" s="428">
        <v>1733</v>
      </c>
      <c r="F603" s="427">
        <v>0.3</v>
      </c>
      <c r="G603" s="428">
        <v>520</v>
      </c>
    </row>
    <row r="604" spans="1:7">
      <c r="A604" s="420"/>
      <c r="B604" s="421" t="s">
        <v>252</v>
      </c>
      <c r="C604" s="422" t="s">
        <v>253</v>
      </c>
      <c r="D604" s="423" t="s">
        <v>172</v>
      </c>
      <c r="E604" s="424">
        <v>115927</v>
      </c>
      <c r="F604" s="423">
        <v>0.15</v>
      </c>
      <c r="G604" s="424">
        <v>17389</v>
      </c>
    </row>
    <row r="605" spans="1:7">
      <c r="A605" s="413"/>
      <c r="B605" s="416" t="s">
        <v>309</v>
      </c>
      <c r="C605" s="417" t="s">
        <v>310</v>
      </c>
      <c r="D605" s="418"/>
      <c r="E605" s="418"/>
      <c r="F605" s="418"/>
      <c r="G605" s="419"/>
    </row>
    <row r="606" spans="1:7">
      <c r="A606" s="420"/>
      <c r="B606" s="421" t="s">
        <v>10</v>
      </c>
      <c r="C606" s="422" t="s">
        <v>11</v>
      </c>
      <c r="D606" s="423" t="s">
        <v>6</v>
      </c>
      <c r="E606" s="424">
        <v>3311</v>
      </c>
      <c r="F606" s="423">
        <v>0.25</v>
      </c>
      <c r="G606" s="424">
        <v>828</v>
      </c>
    </row>
    <row r="607" spans="1:7">
      <c r="A607" s="413"/>
      <c r="B607" s="416" t="s">
        <v>309</v>
      </c>
      <c r="C607" s="417" t="s">
        <v>311</v>
      </c>
      <c r="D607" s="418"/>
      <c r="E607" s="418"/>
      <c r="F607" s="418"/>
      <c r="G607" s="419"/>
    </row>
    <row r="608" spans="1:7" ht="24.75">
      <c r="A608" s="420"/>
      <c r="B608" s="425" t="s">
        <v>156</v>
      </c>
      <c r="C608" s="426" t="s">
        <v>176</v>
      </c>
      <c r="D608" s="427" t="s">
        <v>6</v>
      </c>
      <c r="E608" s="428">
        <v>9475</v>
      </c>
      <c r="F608" s="427">
        <v>0.03</v>
      </c>
      <c r="G608" s="428">
        <v>284</v>
      </c>
    </row>
    <row r="609" spans="1:7">
      <c r="A609" s="420"/>
      <c r="B609" s="421" t="s">
        <v>164</v>
      </c>
      <c r="C609" s="422" t="s">
        <v>165</v>
      </c>
      <c r="D609" s="423" t="s">
        <v>12</v>
      </c>
      <c r="E609" s="424">
        <v>171308</v>
      </c>
      <c r="F609" s="423">
        <v>2E-3</v>
      </c>
      <c r="G609" s="424">
        <v>343</v>
      </c>
    </row>
    <row r="610" spans="1:7">
      <c r="A610" s="413"/>
      <c r="B610" s="416" t="s">
        <v>309</v>
      </c>
      <c r="C610" s="417" t="s">
        <v>312</v>
      </c>
      <c r="D610" s="418"/>
      <c r="E610" s="418"/>
      <c r="F610" s="418"/>
      <c r="G610" s="419"/>
    </row>
    <row r="611" spans="1:7">
      <c r="A611" s="420"/>
      <c r="B611" s="425" t="s">
        <v>168</v>
      </c>
      <c r="C611" s="426" t="s">
        <v>247</v>
      </c>
      <c r="D611" s="427" t="s">
        <v>13</v>
      </c>
      <c r="E611" s="428">
        <v>27500</v>
      </c>
      <c r="F611" s="427">
        <v>0.25</v>
      </c>
      <c r="G611" s="428">
        <v>6875</v>
      </c>
    </row>
    <row r="613" spans="1:7" ht="26.25">
      <c r="A613" s="408">
        <v>45</v>
      </c>
      <c r="B613" s="409" t="s">
        <v>396</v>
      </c>
      <c r="C613" s="410" t="s">
        <v>397</v>
      </c>
      <c r="D613" s="411" t="s">
        <v>7</v>
      </c>
      <c r="E613" s="412"/>
      <c r="F613" s="394" t="s">
        <v>305</v>
      </c>
      <c r="G613" s="395">
        <v>22408</v>
      </c>
    </row>
    <row r="614" spans="1:7">
      <c r="A614" s="413"/>
      <c r="B614" s="414" t="s">
        <v>306</v>
      </c>
      <c r="C614" s="415" t="s">
        <v>9</v>
      </c>
      <c r="D614" s="415" t="s">
        <v>1</v>
      </c>
      <c r="E614" s="415" t="s">
        <v>307</v>
      </c>
      <c r="F614" s="415" t="s">
        <v>3</v>
      </c>
      <c r="G614" s="415" t="s">
        <v>308</v>
      </c>
    </row>
    <row r="615" spans="1:7">
      <c r="A615" s="413"/>
      <c r="B615" s="416" t="s">
        <v>309</v>
      </c>
      <c r="C615" s="417" t="s">
        <v>313</v>
      </c>
      <c r="D615" s="418"/>
      <c r="E615" s="418"/>
      <c r="F615" s="418"/>
      <c r="G615" s="419"/>
    </row>
    <row r="616" spans="1:7">
      <c r="A616" s="420"/>
      <c r="B616" s="425" t="s">
        <v>151</v>
      </c>
      <c r="C616" s="426" t="s">
        <v>152</v>
      </c>
      <c r="D616" s="427" t="s">
        <v>6</v>
      </c>
      <c r="E616" s="428">
        <v>1733</v>
      </c>
      <c r="F616" s="427">
        <v>0.3</v>
      </c>
      <c r="G616" s="428">
        <v>520</v>
      </c>
    </row>
    <row r="617" spans="1:7">
      <c r="A617" s="420"/>
      <c r="B617" s="421" t="s">
        <v>252</v>
      </c>
      <c r="C617" s="422" t="s">
        <v>253</v>
      </c>
      <c r="D617" s="423" t="s">
        <v>172</v>
      </c>
      <c r="E617" s="424">
        <v>115927</v>
      </c>
      <c r="F617" s="423">
        <v>0.12</v>
      </c>
      <c r="G617" s="424">
        <v>13911</v>
      </c>
    </row>
    <row r="618" spans="1:7">
      <c r="A618" s="413"/>
      <c r="B618" s="416" t="s">
        <v>309</v>
      </c>
      <c r="C618" s="417" t="s">
        <v>310</v>
      </c>
      <c r="D618" s="418"/>
      <c r="E618" s="418"/>
      <c r="F618" s="418"/>
      <c r="G618" s="419"/>
    </row>
    <row r="619" spans="1:7">
      <c r="A619" s="420"/>
      <c r="B619" s="421" t="s">
        <v>10</v>
      </c>
      <c r="C619" s="422" t="s">
        <v>11</v>
      </c>
      <c r="D619" s="423" t="s">
        <v>6</v>
      </c>
      <c r="E619" s="424">
        <v>3311</v>
      </c>
      <c r="F619" s="423">
        <v>0.25</v>
      </c>
      <c r="G619" s="424">
        <v>828</v>
      </c>
    </row>
    <row r="620" spans="1:7">
      <c r="A620" s="413"/>
      <c r="B620" s="416" t="s">
        <v>309</v>
      </c>
      <c r="C620" s="417" t="s">
        <v>311</v>
      </c>
      <c r="D620" s="418"/>
      <c r="E620" s="418"/>
      <c r="F620" s="418"/>
      <c r="G620" s="419"/>
    </row>
    <row r="621" spans="1:7">
      <c r="A621" s="420"/>
      <c r="B621" s="421" t="s">
        <v>164</v>
      </c>
      <c r="C621" s="422" t="s">
        <v>165</v>
      </c>
      <c r="D621" s="423" t="s">
        <v>12</v>
      </c>
      <c r="E621" s="424">
        <v>171308</v>
      </c>
      <c r="F621" s="423">
        <v>1.6000000000000001E-3</v>
      </c>
      <c r="G621" s="424">
        <v>274</v>
      </c>
    </row>
    <row r="622" spans="1:7">
      <c r="A622" s="413"/>
      <c r="B622" s="416" t="s">
        <v>309</v>
      </c>
      <c r="C622" s="417" t="s">
        <v>312</v>
      </c>
      <c r="D622" s="418"/>
      <c r="E622" s="418"/>
      <c r="F622" s="418"/>
      <c r="G622" s="419"/>
    </row>
    <row r="623" spans="1:7">
      <c r="A623" s="420"/>
      <c r="B623" s="425" t="s">
        <v>168</v>
      </c>
      <c r="C623" s="426" t="s">
        <v>247</v>
      </c>
      <c r="D623" s="427" t="s">
        <v>13</v>
      </c>
      <c r="E623" s="428">
        <v>27500</v>
      </c>
      <c r="F623" s="427">
        <v>0.25</v>
      </c>
      <c r="G623" s="428">
        <v>6875</v>
      </c>
    </row>
    <row r="625" spans="1:7" ht="26.25">
      <c r="A625" s="408">
        <v>46</v>
      </c>
      <c r="B625" s="409" t="s">
        <v>398</v>
      </c>
      <c r="C625" s="410" t="s">
        <v>399</v>
      </c>
      <c r="D625" s="411" t="s">
        <v>7</v>
      </c>
      <c r="E625" s="412"/>
      <c r="F625" s="394" t="s">
        <v>305</v>
      </c>
      <c r="G625" s="395">
        <v>22408</v>
      </c>
    </row>
    <row r="626" spans="1:7">
      <c r="A626" s="413"/>
      <c r="B626" s="414" t="s">
        <v>306</v>
      </c>
      <c r="C626" s="415" t="s">
        <v>9</v>
      </c>
      <c r="D626" s="415" t="s">
        <v>1</v>
      </c>
      <c r="E626" s="415" t="s">
        <v>307</v>
      </c>
      <c r="F626" s="415" t="s">
        <v>3</v>
      </c>
      <c r="G626" s="415" t="s">
        <v>308</v>
      </c>
    </row>
    <row r="627" spans="1:7">
      <c r="A627" s="413"/>
      <c r="B627" s="416" t="s">
        <v>309</v>
      </c>
      <c r="C627" s="417" t="s">
        <v>313</v>
      </c>
      <c r="D627" s="418"/>
      <c r="E627" s="418"/>
      <c r="F627" s="418"/>
      <c r="G627" s="419"/>
    </row>
    <row r="628" spans="1:7">
      <c r="A628" s="420"/>
      <c r="B628" s="425" t="s">
        <v>252</v>
      </c>
      <c r="C628" s="426" t="s">
        <v>253</v>
      </c>
      <c r="D628" s="427" t="s">
        <v>172</v>
      </c>
      <c r="E628" s="428">
        <v>115927</v>
      </c>
      <c r="F628" s="427">
        <v>0.12</v>
      </c>
      <c r="G628" s="428">
        <v>13911</v>
      </c>
    </row>
    <row r="629" spans="1:7">
      <c r="A629" s="420"/>
      <c r="B629" s="421" t="s">
        <v>151</v>
      </c>
      <c r="C629" s="422" t="s">
        <v>152</v>
      </c>
      <c r="D629" s="423" t="s">
        <v>6</v>
      </c>
      <c r="E629" s="424">
        <v>1733</v>
      </c>
      <c r="F629" s="423">
        <v>0.3</v>
      </c>
      <c r="G629" s="424">
        <v>520</v>
      </c>
    </row>
    <row r="630" spans="1:7">
      <c r="A630" s="413"/>
      <c r="B630" s="416" t="s">
        <v>309</v>
      </c>
      <c r="C630" s="417" t="s">
        <v>310</v>
      </c>
      <c r="D630" s="418"/>
      <c r="E630" s="418"/>
      <c r="F630" s="418"/>
      <c r="G630" s="419"/>
    </row>
    <row r="631" spans="1:7">
      <c r="A631" s="420"/>
      <c r="B631" s="421" t="s">
        <v>10</v>
      </c>
      <c r="C631" s="422" t="s">
        <v>11</v>
      </c>
      <c r="D631" s="423" t="s">
        <v>6</v>
      </c>
      <c r="E631" s="424">
        <v>3311</v>
      </c>
      <c r="F631" s="423">
        <v>0.25</v>
      </c>
      <c r="G631" s="424">
        <v>828</v>
      </c>
    </row>
    <row r="632" spans="1:7">
      <c r="A632" s="413"/>
      <c r="B632" s="416" t="s">
        <v>309</v>
      </c>
      <c r="C632" s="417" t="s">
        <v>311</v>
      </c>
      <c r="D632" s="418"/>
      <c r="E632" s="418"/>
      <c r="F632" s="418"/>
      <c r="G632" s="419"/>
    </row>
    <row r="633" spans="1:7">
      <c r="A633" s="420"/>
      <c r="B633" s="421" t="s">
        <v>164</v>
      </c>
      <c r="C633" s="422" t="s">
        <v>165</v>
      </c>
      <c r="D633" s="423" t="s">
        <v>12</v>
      </c>
      <c r="E633" s="424">
        <v>171308</v>
      </c>
      <c r="F633" s="423">
        <v>1.6000000000000001E-3</v>
      </c>
      <c r="G633" s="424">
        <v>274</v>
      </c>
    </row>
    <row r="634" spans="1:7">
      <c r="A634" s="413"/>
      <c r="B634" s="416" t="s">
        <v>309</v>
      </c>
      <c r="C634" s="417" t="s">
        <v>312</v>
      </c>
      <c r="D634" s="418"/>
      <c r="E634" s="418"/>
      <c r="F634" s="418"/>
      <c r="G634" s="419"/>
    </row>
    <row r="635" spans="1:7">
      <c r="A635" s="420"/>
      <c r="B635" s="425" t="s">
        <v>168</v>
      </c>
      <c r="C635" s="426" t="s">
        <v>247</v>
      </c>
      <c r="D635" s="427" t="s">
        <v>13</v>
      </c>
      <c r="E635" s="428">
        <v>27500</v>
      </c>
      <c r="F635" s="427">
        <v>0.25</v>
      </c>
      <c r="G635" s="428">
        <v>6875</v>
      </c>
    </row>
    <row r="637" spans="1:7" ht="90">
      <c r="A637" s="408">
        <v>47</v>
      </c>
      <c r="B637" s="409" t="s">
        <v>557</v>
      </c>
      <c r="C637" s="410" t="s">
        <v>558</v>
      </c>
      <c r="D637" s="411" t="s">
        <v>7</v>
      </c>
      <c r="E637" s="412"/>
      <c r="F637" s="394" t="s">
        <v>305</v>
      </c>
      <c r="G637" s="395">
        <v>809251</v>
      </c>
    </row>
    <row r="638" spans="1:7">
      <c r="A638" s="413"/>
      <c r="B638" s="414" t="s">
        <v>306</v>
      </c>
      <c r="C638" s="415" t="s">
        <v>9</v>
      </c>
      <c r="D638" s="415" t="s">
        <v>1</v>
      </c>
      <c r="E638" s="415" t="s">
        <v>307</v>
      </c>
      <c r="F638" s="415" t="s">
        <v>3</v>
      </c>
      <c r="G638" s="415" t="s">
        <v>308</v>
      </c>
    </row>
    <row r="639" spans="1:7">
      <c r="A639" s="413"/>
      <c r="B639" s="416" t="s">
        <v>309</v>
      </c>
      <c r="C639" s="417" t="s">
        <v>313</v>
      </c>
      <c r="D639" s="418"/>
      <c r="E639" s="418"/>
      <c r="F639" s="418"/>
      <c r="G639" s="419"/>
    </row>
    <row r="640" spans="1:7">
      <c r="A640" s="420"/>
      <c r="B640" s="425" t="s">
        <v>151</v>
      </c>
      <c r="C640" s="426" t="s">
        <v>152</v>
      </c>
      <c r="D640" s="427" t="s">
        <v>6</v>
      </c>
      <c r="E640" s="428">
        <v>1733</v>
      </c>
      <c r="F640" s="427">
        <v>3</v>
      </c>
      <c r="G640" s="428">
        <v>5199</v>
      </c>
    </row>
    <row r="641" spans="1:7">
      <c r="A641" s="420"/>
      <c r="B641" s="425" t="s">
        <v>559</v>
      </c>
      <c r="C641" s="426" t="s">
        <v>560</v>
      </c>
      <c r="D641" s="427" t="s">
        <v>8</v>
      </c>
      <c r="E641" s="428">
        <v>22612</v>
      </c>
      <c r="F641" s="427">
        <v>5.5</v>
      </c>
      <c r="G641" s="428">
        <v>124366</v>
      </c>
    </row>
    <row r="642" spans="1:7">
      <c r="A642" s="420"/>
      <c r="B642" s="425" t="s">
        <v>350</v>
      </c>
      <c r="C642" s="426" t="s">
        <v>561</v>
      </c>
      <c r="D642" s="427" t="s">
        <v>53</v>
      </c>
      <c r="E642" s="428">
        <v>4163</v>
      </c>
      <c r="F642" s="427">
        <v>1</v>
      </c>
      <c r="G642" s="428">
        <v>4163</v>
      </c>
    </row>
    <row r="643" spans="1:7">
      <c r="A643" s="420"/>
      <c r="B643" s="425" t="s">
        <v>168</v>
      </c>
      <c r="C643" s="426" t="s">
        <v>428</v>
      </c>
      <c r="D643" s="427" t="s">
        <v>53</v>
      </c>
      <c r="E643" s="428">
        <v>5644</v>
      </c>
      <c r="F643" s="427">
        <v>0.2</v>
      </c>
      <c r="G643" s="428">
        <v>1129</v>
      </c>
    </row>
    <row r="644" spans="1:7">
      <c r="A644" s="420"/>
      <c r="B644" s="425" t="s">
        <v>562</v>
      </c>
      <c r="C644" s="426" t="s">
        <v>563</v>
      </c>
      <c r="D644" s="427" t="s">
        <v>167</v>
      </c>
      <c r="E644" s="428">
        <v>17921</v>
      </c>
      <c r="F644" s="427">
        <v>1.03</v>
      </c>
      <c r="G644" s="428">
        <v>18459</v>
      </c>
    </row>
    <row r="645" spans="1:7">
      <c r="A645" s="420"/>
      <c r="B645" s="425" t="s">
        <v>10</v>
      </c>
      <c r="C645" s="426" t="s">
        <v>505</v>
      </c>
      <c r="D645" s="427" t="s">
        <v>53</v>
      </c>
      <c r="E645" s="428">
        <v>4326</v>
      </c>
      <c r="F645" s="427">
        <v>8</v>
      </c>
      <c r="G645" s="428">
        <v>34608</v>
      </c>
    </row>
    <row r="646" spans="1:7">
      <c r="A646" s="420"/>
      <c r="B646" s="425" t="s">
        <v>564</v>
      </c>
      <c r="C646" s="426" t="s">
        <v>565</v>
      </c>
      <c r="D646" s="427" t="s">
        <v>53</v>
      </c>
      <c r="E646" s="428">
        <v>4117</v>
      </c>
      <c r="F646" s="427">
        <v>1.2</v>
      </c>
      <c r="G646" s="428">
        <v>4940</v>
      </c>
    </row>
    <row r="647" spans="1:7">
      <c r="A647" s="420"/>
      <c r="B647" s="425" t="s">
        <v>566</v>
      </c>
      <c r="C647" s="426" t="s">
        <v>567</v>
      </c>
      <c r="D647" s="427" t="s">
        <v>53</v>
      </c>
      <c r="E647" s="428">
        <v>14042</v>
      </c>
      <c r="F647" s="427">
        <v>1.5</v>
      </c>
      <c r="G647" s="428">
        <v>21063</v>
      </c>
    </row>
    <row r="648" spans="1:7">
      <c r="A648" s="420"/>
      <c r="B648" s="425" t="s">
        <v>568</v>
      </c>
      <c r="C648" s="426" t="s">
        <v>569</v>
      </c>
      <c r="D648" s="427" t="s">
        <v>172</v>
      </c>
      <c r="E648" s="428">
        <v>79948</v>
      </c>
      <c r="F648" s="427">
        <v>0.01</v>
      </c>
      <c r="G648" s="428">
        <v>799</v>
      </c>
    </row>
    <row r="649" spans="1:7">
      <c r="A649" s="420"/>
      <c r="B649" s="425" t="s">
        <v>252</v>
      </c>
      <c r="C649" s="426" t="s">
        <v>253</v>
      </c>
      <c r="D649" s="427" t="s">
        <v>172</v>
      </c>
      <c r="E649" s="428">
        <v>115927</v>
      </c>
      <c r="F649" s="427">
        <v>0.01</v>
      </c>
      <c r="G649" s="428">
        <v>1159</v>
      </c>
    </row>
    <row r="650" spans="1:7">
      <c r="A650" s="420"/>
      <c r="B650" s="425" t="s">
        <v>162</v>
      </c>
      <c r="C650" s="426" t="s">
        <v>163</v>
      </c>
      <c r="D650" s="427" t="s">
        <v>53</v>
      </c>
      <c r="E650" s="428">
        <v>13246</v>
      </c>
      <c r="F650" s="427">
        <v>0.4</v>
      </c>
      <c r="G650" s="428">
        <v>5298</v>
      </c>
    </row>
    <row r="651" spans="1:7">
      <c r="A651" s="420"/>
      <c r="B651" s="421" t="s">
        <v>570</v>
      </c>
      <c r="C651" s="422" t="s">
        <v>571</v>
      </c>
      <c r="D651" s="423" t="s">
        <v>167</v>
      </c>
      <c r="E651" s="424">
        <v>19869</v>
      </c>
      <c r="F651" s="423">
        <v>7.2</v>
      </c>
      <c r="G651" s="424">
        <v>143057</v>
      </c>
    </row>
    <row r="652" spans="1:7">
      <c r="A652" s="413"/>
      <c r="B652" s="416" t="s">
        <v>309</v>
      </c>
      <c r="C652" s="417" t="s">
        <v>310</v>
      </c>
      <c r="D652" s="418"/>
      <c r="E652" s="418"/>
      <c r="F652" s="418"/>
      <c r="G652" s="419"/>
    </row>
    <row r="653" spans="1:7">
      <c r="A653" s="420"/>
      <c r="B653" s="421" t="s">
        <v>10</v>
      </c>
      <c r="C653" s="422" t="s">
        <v>11</v>
      </c>
      <c r="D653" s="423" t="s">
        <v>6</v>
      </c>
      <c r="E653" s="424">
        <v>3311</v>
      </c>
      <c r="F653" s="423">
        <v>2</v>
      </c>
      <c r="G653" s="424">
        <v>6622</v>
      </c>
    </row>
    <row r="654" spans="1:7">
      <c r="A654" s="413"/>
      <c r="B654" s="416" t="s">
        <v>309</v>
      </c>
      <c r="C654" s="417" t="s">
        <v>311</v>
      </c>
      <c r="D654" s="418"/>
      <c r="E654" s="418"/>
      <c r="F654" s="418"/>
      <c r="G654" s="419"/>
    </row>
    <row r="655" spans="1:7">
      <c r="A655" s="420"/>
      <c r="B655" s="425" t="s">
        <v>164</v>
      </c>
      <c r="C655" s="426" t="s">
        <v>165</v>
      </c>
      <c r="D655" s="427" t="s">
        <v>12</v>
      </c>
      <c r="E655" s="428">
        <v>171308</v>
      </c>
      <c r="F655" s="427">
        <v>0.18</v>
      </c>
      <c r="G655" s="428">
        <v>30835</v>
      </c>
    </row>
    <row r="656" spans="1:7" ht="24.75">
      <c r="A656" s="420"/>
      <c r="B656" s="425" t="s">
        <v>156</v>
      </c>
      <c r="C656" s="426" t="s">
        <v>176</v>
      </c>
      <c r="D656" s="427" t="s">
        <v>6</v>
      </c>
      <c r="E656" s="428">
        <v>9475</v>
      </c>
      <c r="F656" s="427">
        <v>1</v>
      </c>
      <c r="G656" s="428">
        <v>9475</v>
      </c>
    </row>
    <row r="657" spans="1:7">
      <c r="A657" s="420"/>
      <c r="B657" s="421" t="s">
        <v>572</v>
      </c>
      <c r="C657" s="422" t="s">
        <v>573</v>
      </c>
      <c r="D657" s="423" t="s">
        <v>13</v>
      </c>
      <c r="E657" s="424">
        <v>42825</v>
      </c>
      <c r="F657" s="423">
        <v>0.8</v>
      </c>
      <c r="G657" s="424">
        <v>34260</v>
      </c>
    </row>
    <row r="658" spans="1:7">
      <c r="A658" s="413"/>
      <c r="B658" s="416" t="s">
        <v>309</v>
      </c>
      <c r="C658" s="417" t="s">
        <v>312</v>
      </c>
      <c r="D658" s="418"/>
      <c r="E658" s="418"/>
      <c r="F658" s="418"/>
      <c r="G658" s="419"/>
    </row>
    <row r="659" spans="1:7">
      <c r="A659" s="420"/>
      <c r="B659" s="425" t="s">
        <v>169</v>
      </c>
      <c r="C659" s="426" t="s">
        <v>170</v>
      </c>
      <c r="D659" s="427" t="s">
        <v>13</v>
      </c>
      <c r="E659" s="428">
        <v>33113</v>
      </c>
      <c r="F659" s="427">
        <v>3</v>
      </c>
      <c r="G659" s="428">
        <v>99339</v>
      </c>
    </row>
    <row r="660" spans="1:7">
      <c r="A660" s="420"/>
      <c r="B660" s="421" t="s">
        <v>574</v>
      </c>
      <c r="C660" s="422" t="s">
        <v>575</v>
      </c>
      <c r="D660" s="423" t="s">
        <v>13</v>
      </c>
      <c r="E660" s="424">
        <v>48652</v>
      </c>
      <c r="F660" s="423">
        <v>3.5</v>
      </c>
      <c r="G660" s="424">
        <v>170282</v>
      </c>
    </row>
    <row r="661" spans="1:7">
      <c r="A661" s="413"/>
      <c r="B661" s="416" t="s">
        <v>309</v>
      </c>
      <c r="C661" s="417" t="s">
        <v>314</v>
      </c>
      <c r="D661" s="418"/>
      <c r="E661" s="418"/>
      <c r="F661" s="418"/>
      <c r="G661" s="419"/>
    </row>
    <row r="662" spans="1:7">
      <c r="A662" s="420"/>
      <c r="B662" s="425" t="s">
        <v>431</v>
      </c>
      <c r="C662" s="426" t="s">
        <v>432</v>
      </c>
      <c r="D662" s="427" t="s">
        <v>5</v>
      </c>
      <c r="E662" s="428">
        <v>554104</v>
      </c>
      <c r="F662" s="427">
        <v>0.17</v>
      </c>
      <c r="G662" s="428">
        <v>94198</v>
      </c>
    </row>
    <row r="664" spans="1:7" ht="39">
      <c r="A664" s="408">
        <v>48</v>
      </c>
      <c r="B664" s="409" t="s">
        <v>576</v>
      </c>
      <c r="C664" s="410" t="s">
        <v>577</v>
      </c>
      <c r="D664" s="411" t="s">
        <v>7</v>
      </c>
      <c r="E664" s="412"/>
      <c r="F664" s="394" t="s">
        <v>305</v>
      </c>
      <c r="G664" s="395">
        <v>177561</v>
      </c>
    </row>
    <row r="665" spans="1:7">
      <c r="A665" s="413"/>
      <c r="B665" s="414" t="s">
        <v>306</v>
      </c>
      <c r="C665" s="415" t="s">
        <v>9</v>
      </c>
      <c r="D665" s="415" t="s">
        <v>1</v>
      </c>
      <c r="E665" s="415" t="s">
        <v>307</v>
      </c>
      <c r="F665" s="415" t="s">
        <v>3</v>
      </c>
      <c r="G665" s="415" t="s">
        <v>308</v>
      </c>
    </row>
    <row r="666" spans="1:7">
      <c r="A666" s="413"/>
      <c r="B666" s="416" t="s">
        <v>309</v>
      </c>
      <c r="C666" s="417" t="s">
        <v>313</v>
      </c>
      <c r="D666" s="418"/>
      <c r="E666" s="418"/>
      <c r="F666" s="418"/>
      <c r="G666" s="419"/>
    </row>
    <row r="667" spans="1:7">
      <c r="A667" s="420"/>
      <c r="B667" s="425" t="s">
        <v>151</v>
      </c>
      <c r="C667" s="426" t="s">
        <v>152</v>
      </c>
      <c r="D667" s="427" t="s">
        <v>6</v>
      </c>
      <c r="E667" s="428">
        <v>1733</v>
      </c>
      <c r="F667" s="427">
        <v>2.6</v>
      </c>
      <c r="G667" s="428">
        <v>4506</v>
      </c>
    </row>
    <row r="668" spans="1:7">
      <c r="A668" s="420"/>
      <c r="B668" s="425" t="s">
        <v>578</v>
      </c>
      <c r="C668" s="426" t="s">
        <v>579</v>
      </c>
      <c r="D668" s="427" t="s">
        <v>53</v>
      </c>
      <c r="E668" s="428">
        <v>13466</v>
      </c>
      <c r="F668" s="427">
        <v>0.09</v>
      </c>
      <c r="G668" s="428">
        <v>1212</v>
      </c>
    </row>
    <row r="669" spans="1:7" ht="24.75">
      <c r="A669" s="420"/>
      <c r="B669" s="421" t="s">
        <v>580</v>
      </c>
      <c r="C669" s="422" t="s">
        <v>581</v>
      </c>
      <c r="D669" s="423" t="s">
        <v>6</v>
      </c>
      <c r="E669" s="424">
        <v>33734</v>
      </c>
      <c r="F669" s="423">
        <v>2.5</v>
      </c>
      <c r="G669" s="424">
        <v>84335</v>
      </c>
    </row>
    <row r="670" spans="1:7">
      <c r="A670" s="413"/>
      <c r="B670" s="416" t="s">
        <v>309</v>
      </c>
      <c r="C670" s="417" t="s">
        <v>310</v>
      </c>
      <c r="D670" s="418"/>
      <c r="E670" s="418"/>
      <c r="F670" s="418"/>
      <c r="G670" s="419"/>
    </row>
    <row r="671" spans="1:7">
      <c r="A671" s="420"/>
      <c r="B671" s="421" t="s">
        <v>10</v>
      </c>
      <c r="C671" s="422" t="s">
        <v>11</v>
      </c>
      <c r="D671" s="423" t="s">
        <v>6</v>
      </c>
      <c r="E671" s="424">
        <v>3311</v>
      </c>
      <c r="F671" s="423">
        <v>0.3</v>
      </c>
      <c r="G671" s="424">
        <v>993</v>
      </c>
    </row>
    <row r="672" spans="1:7">
      <c r="A672" s="413"/>
      <c r="B672" s="416" t="s">
        <v>309</v>
      </c>
      <c r="C672" s="417" t="s">
        <v>311</v>
      </c>
      <c r="D672" s="418"/>
      <c r="E672" s="418"/>
      <c r="F672" s="418"/>
      <c r="G672" s="419"/>
    </row>
    <row r="673" spans="1:7">
      <c r="A673" s="420"/>
      <c r="B673" s="425" t="s">
        <v>164</v>
      </c>
      <c r="C673" s="426" t="s">
        <v>165</v>
      </c>
      <c r="D673" s="427" t="s">
        <v>12</v>
      </c>
      <c r="E673" s="428">
        <v>171308</v>
      </c>
      <c r="F673" s="427">
        <v>2.8999999999999998E-3</v>
      </c>
      <c r="G673" s="428">
        <v>497</v>
      </c>
    </row>
    <row r="674" spans="1:7">
      <c r="A674" s="420"/>
      <c r="B674" s="421" t="s">
        <v>582</v>
      </c>
      <c r="C674" s="422" t="s">
        <v>583</v>
      </c>
      <c r="D674" s="423" t="s">
        <v>12</v>
      </c>
      <c r="E674" s="424">
        <v>462</v>
      </c>
      <c r="F674" s="423">
        <v>4</v>
      </c>
      <c r="G674" s="424">
        <v>1848</v>
      </c>
    </row>
    <row r="675" spans="1:7">
      <c r="A675" s="413"/>
      <c r="B675" s="416" t="s">
        <v>309</v>
      </c>
      <c r="C675" s="417" t="s">
        <v>312</v>
      </c>
      <c r="D675" s="418"/>
      <c r="E675" s="418"/>
      <c r="F675" s="418"/>
      <c r="G675" s="419"/>
    </row>
    <row r="676" spans="1:7">
      <c r="A676" s="420"/>
      <c r="B676" s="421" t="s">
        <v>160</v>
      </c>
      <c r="C676" s="422" t="s">
        <v>161</v>
      </c>
      <c r="D676" s="423" t="s">
        <v>13</v>
      </c>
      <c r="E676" s="424">
        <v>42311</v>
      </c>
      <c r="F676" s="423">
        <v>1.4</v>
      </c>
      <c r="G676" s="424">
        <v>59235</v>
      </c>
    </row>
    <row r="677" spans="1:7">
      <c r="A677" s="413"/>
      <c r="B677" s="416" t="s">
        <v>309</v>
      </c>
      <c r="C677" s="417" t="s">
        <v>314</v>
      </c>
      <c r="D677" s="418"/>
      <c r="E677" s="418"/>
      <c r="F677" s="418"/>
      <c r="G677" s="419"/>
    </row>
    <row r="678" spans="1:7">
      <c r="A678" s="420"/>
      <c r="B678" s="425" t="s">
        <v>431</v>
      </c>
      <c r="C678" s="426" t="s">
        <v>432</v>
      </c>
      <c r="D678" s="427" t="s">
        <v>5</v>
      </c>
      <c r="E678" s="428">
        <v>554104</v>
      </c>
      <c r="F678" s="427">
        <v>4.4999999999999998E-2</v>
      </c>
      <c r="G678" s="428">
        <v>24935</v>
      </c>
    </row>
    <row r="680" spans="1:7">
      <c r="A680" s="408">
        <v>49</v>
      </c>
      <c r="B680" s="409" t="s">
        <v>584</v>
      </c>
      <c r="C680" s="410" t="s">
        <v>585</v>
      </c>
      <c r="D680" s="411" t="s">
        <v>8</v>
      </c>
      <c r="E680" s="412"/>
      <c r="F680" s="394" t="s">
        <v>305</v>
      </c>
      <c r="G680" s="395">
        <v>12479</v>
      </c>
    </row>
    <row r="681" spans="1:7">
      <c r="A681" s="413"/>
      <c r="B681" s="414" t="s">
        <v>306</v>
      </c>
      <c r="C681" s="415" t="s">
        <v>9</v>
      </c>
      <c r="D681" s="415" t="s">
        <v>1</v>
      </c>
      <c r="E681" s="415" t="s">
        <v>307</v>
      </c>
      <c r="F681" s="415" t="s">
        <v>3</v>
      </c>
      <c r="G681" s="415" t="s">
        <v>308</v>
      </c>
    </row>
    <row r="682" spans="1:7">
      <c r="A682" s="413"/>
      <c r="B682" s="416" t="s">
        <v>309</v>
      </c>
      <c r="C682" s="417" t="s">
        <v>313</v>
      </c>
      <c r="D682" s="418"/>
      <c r="E682" s="418"/>
      <c r="F682" s="418"/>
      <c r="G682" s="419"/>
    </row>
    <row r="683" spans="1:7">
      <c r="A683" s="420"/>
      <c r="B683" s="421" t="s">
        <v>151</v>
      </c>
      <c r="C683" s="422" t="s">
        <v>152</v>
      </c>
      <c r="D683" s="423" t="s">
        <v>6</v>
      </c>
      <c r="E683" s="424">
        <v>1733</v>
      </c>
      <c r="F683" s="423">
        <v>0.32819999999999999</v>
      </c>
      <c r="G683" s="424">
        <v>569</v>
      </c>
    </row>
    <row r="684" spans="1:7">
      <c r="A684" s="413"/>
      <c r="B684" s="416" t="s">
        <v>309</v>
      </c>
      <c r="C684" s="417" t="s">
        <v>310</v>
      </c>
      <c r="D684" s="418"/>
      <c r="E684" s="418"/>
      <c r="F684" s="418"/>
      <c r="G684" s="419"/>
    </row>
    <row r="685" spans="1:7">
      <c r="A685" s="420"/>
      <c r="B685" s="421" t="s">
        <v>10</v>
      </c>
      <c r="C685" s="422" t="s">
        <v>11</v>
      </c>
      <c r="D685" s="423" t="s">
        <v>6</v>
      </c>
      <c r="E685" s="424">
        <v>3311</v>
      </c>
      <c r="F685" s="423">
        <v>0.2</v>
      </c>
      <c r="G685" s="424">
        <v>662</v>
      </c>
    </row>
    <row r="686" spans="1:7">
      <c r="A686" s="413"/>
      <c r="B686" s="416" t="s">
        <v>309</v>
      </c>
      <c r="C686" s="417" t="s">
        <v>311</v>
      </c>
      <c r="D686" s="418"/>
      <c r="E686" s="418"/>
      <c r="F686" s="418"/>
      <c r="G686" s="419"/>
    </row>
    <row r="687" spans="1:7">
      <c r="A687" s="420"/>
      <c r="B687" s="421" t="s">
        <v>158</v>
      </c>
      <c r="C687" s="422" t="s">
        <v>159</v>
      </c>
      <c r="D687" s="423" t="s">
        <v>153</v>
      </c>
      <c r="E687" s="424">
        <v>154179</v>
      </c>
      <c r="F687" s="423">
        <v>0.03</v>
      </c>
      <c r="G687" s="424">
        <v>4625</v>
      </c>
    </row>
    <row r="688" spans="1:7">
      <c r="A688" s="413"/>
      <c r="B688" s="416" t="s">
        <v>309</v>
      </c>
      <c r="C688" s="417" t="s">
        <v>312</v>
      </c>
      <c r="D688" s="418"/>
      <c r="E688" s="418"/>
      <c r="F688" s="418"/>
      <c r="G688" s="419"/>
    </row>
    <row r="689" spans="1:7">
      <c r="A689" s="420"/>
      <c r="B689" s="425" t="s">
        <v>169</v>
      </c>
      <c r="C689" s="426" t="s">
        <v>170</v>
      </c>
      <c r="D689" s="427" t="s">
        <v>13</v>
      </c>
      <c r="E689" s="428">
        <v>33113</v>
      </c>
      <c r="F689" s="427">
        <v>0.2</v>
      </c>
      <c r="G689" s="428">
        <v>6623</v>
      </c>
    </row>
    <row r="691" spans="1:7">
      <c r="A691" s="408">
        <v>50</v>
      </c>
      <c r="B691" s="409" t="s">
        <v>420</v>
      </c>
      <c r="C691" s="410" t="s">
        <v>421</v>
      </c>
      <c r="D691" s="411" t="s">
        <v>8</v>
      </c>
      <c r="E691" s="412"/>
      <c r="F691" s="394" t="s">
        <v>305</v>
      </c>
      <c r="G691" s="395">
        <v>11359</v>
      </c>
    </row>
    <row r="692" spans="1:7">
      <c r="A692" s="413"/>
      <c r="B692" s="414" t="s">
        <v>306</v>
      </c>
      <c r="C692" s="415" t="s">
        <v>9</v>
      </c>
      <c r="D692" s="415" t="s">
        <v>1</v>
      </c>
      <c r="E692" s="415" t="s">
        <v>307</v>
      </c>
      <c r="F692" s="415" t="s">
        <v>3</v>
      </c>
      <c r="G692" s="415" t="s">
        <v>308</v>
      </c>
    </row>
    <row r="693" spans="1:7">
      <c r="A693" s="413"/>
      <c r="B693" s="416" t="s">
        <v>309</v>
      </c>
      <c r="C693" s="417" t="s">
        <v>313</v>
      </c>
      <c r="D693" s="418"/>
      <c r="E693" s="418"/>
      <c r="F693" s="418"/>
      <c r="G693" s="419"/>
    </row>
    <row r="694" spans="1:7">
      <c r="A694" s="420"/>
      <c r="B694" s="421" t="s">
        <v>151</v>
      </c>
      <c r="C694" s="422" t="s">
        <v>152</v>
      </c>
      <c r="D694" s="423" t="s">
        <v>6</v>
      </c>
      <c r="E694" s="424">
        <v>1733</v>
      </c>
      <c r="F694" s="423">
        <v>0.2954</v>
      </c>
      <c r="G694" s="424">
        <v>512</v>
      </c>
    </row>
    <row r="695" spans="1:7">
      <c r="A695" s="413"/>
      <c r="B695" s="416" t="s">
        <v>309</v>
      </c>
      <c r="C695" s="417" t="s">
        <v>310</v>
      </c>
      <c r="D695" s="418"/>
      <c r="E695" s="418"/>
      <c r="F695" s="418"/>
      <c r="G695" s="419"/>
    </row>
    <row r="696" spans="1:7">
      <c r="A696" s="420"/>
      <c r="B696" s="421" t="s">
        <v>10</v>
      </c>
      <c r="C696" s="422" t="s">
        <v>11</v>
      </c>
      <c r="D696" s="423" t="s">
        <v>6</v>
      </c>
      <c r="E696" s="424">
        <v>3311</v>
      </c>
      <c r="F696" s="423">
        <v>0.18</v>
      </c>
      <c r="G696" s="424">
        <v>596</v>
      </c>
    </row>
    <row r="697" spans="1:7">
      <c r="A697" s="413"/>
      <c r="B697" s="416" t="s">
        <v>309</v>
      </c>
      <c r="C697" s="417" t="s">
        <v>311</v>
      </c>
      <c r="D697" s="418"/>
      <c r="E697" s="418"/>
      <c r="F697" s="418"/>
      <c r="G697" s="419"/>
    </row>
    <row r="698" spans="1:7" ht="24.75">
      <c r="A698" s="420"/>
      <c r="B698" s="425" t="s">
        <v>156</v>
      </c>
      <c r="C698" s="426" t="s">
        <v>176</v>
      </c>
      <c r="D698" s="427" t="s">
        <v>6</v>
      </c>
      <c r="E698" s="428">
        <v>9475</v>
      </c>
      <c r="F698" s="427">
        <v>0.16</v>
      </c>
      <c r="G698" s="428">
        <v>1516</v>
      </c>
    </row>
    <row r="699" spans="1:7">
      <c r="A699" s="420"/>
      <c r="B699" s="421" t="s">
        <v>158</v>
      </c>
      <c r="C699" s="422" t="s">
        <v>159</v>
      </c>
      <c r="D699" s="423" t="s">
        <v>153</v>
      </c>
      <c r="E699" s="424">
        <v>154179</v>
      </c>
      <c r="F699" s="423">
        <v>1.7999999999999999E-2</v>
      </c>
      <c r="G699" s="424">
        <v>2775</v>
      </c>
    </row>
    <row r="700" spans="1:7">
      <c r="A700" s="413"/>
      <c r="B700" s="416" t="s">
        <v>309</v>
      </c>
      <c r="C700" s="417" t="s">
        <v>312</v>
      </c>
      <c r="D700" s="418"/>
      <c r="E700" s="418"/>
      <c r="F700" s="418"/>
      <c r="G700" s="419"/>
    </row>
    <row r="701" spans="1:7">
      <c r="A701" s="420"/>
      <c r="B701" s="425" t="s">
        <v>169</v>
      </c>
      <c r="C701" s="426" t="s">
        <v>170</v>
      </c>
      <c r="D701" s="427" t="s">
        <v>13</v>
      </c>
      <c r="E701" s="428">
        <v>33113</v>
      </c>
      <c r="F701" s="427">
        <v>0.18</v>
      </c>
      <c r="G701" s="428">
        <v>5960</v>
      </c>
    </row>
    <row r="703" spans="1:7">
      <c r="A703" s="408">
        <v>51</v>
      </c>
      <c r="B703" s="409" t="s">
        <v>400</v>
      </c>
      <c r="C703" s="410" t="s">
        <v>401</v>
      </c>
      <c r="D703" s="411" t="s">
        <v>7</v>
      </c>
      <c r="E703" s="412"/>
      <c r="F703" s="394" t="s">
        <v>305</v>
      </c>
      <c r="G703" s="395">
        <v>4605</v>
      </c>
    </row>
    <row r="704" spans="1:7">
      <c r="A704" s="413"/>
      <c r="B704" s="414" t="s">
        <v>306</v>
      </c>
      <c r="C704" s="415" t="s">
        <v>9</v>
      </c>
      <c r="D704" s="415" t="s">
        <v>1</v>
      </c>
      <c r="E704" s="415" t="s">
        <v>307</v>
      </c>
      <c r="F704" s="415" t="s">
        <v>3</v>
      </c>
      <c r="G704" s="415" t="s">
        <v>308</v>
      </c>
    </row>
    <row r="705" spans="1:7">
      <c r="A705" s="413"/>
      <c r="B705" s="416" t="s">
        <v>309</v>
      </c>
      <c r="C705" s="417" t="s">
        <v>313</v>
      </c>
      <c r="D705" s="418"/>
      <c r="E705" s="418"/>
      <c r="F705" s="418"/>
      <c r="G705" s="419"/>
    </row>
    <row r="706" spans="1:7">
      <c r="A706" s="420"/>
      <c r="B706" s="421" t="s">
        <v>151</v>
      </c>
      <c r="C706" s="422" t="s">
        <v>152</v>
      </c>
      <c r="D706" s="423" t="s">
        <v>6</v>
      </c>
      <c r="E706" s="424">
        <v>1733</v>
      </c>
      <c r="F706" s="423">
        <v>0.159</v>
      </c>
      <c r="G706" s="424">
        <v>276</v>
      </c>
    </row>
    <row r="707" spans="1:7">
      <c r="A707" s="413"/>
      <c r="B707" s="416" t="s">
        <v>309</v>
      </c>
      <c r="C707" s="417" t="s">
        <v>310</v>
      </c>
      <c r="D707" s="418"/>
      <c r="E707" s="418"/>
      <c r="F707" s="418"/>
      <c r="G707" s="419"/>
    </row>
    <row r="708" spans="1:7">
      <c r="A708" s="420"/>
      <c r="B708" s="421" t="s">
        <v>10</v>
      </c>
      <c r="C708" s="422" t="s">
        <v>11</v>
      </c>
      <c r="D708" s="423" t="s">
        <v>6</v>
      </c>
      <c r="E708" s="424">
        <v>3311</v>
      </c>
      <c r="F708" s="423">
        <v>0.1</v>
      </c>
      <c r="G708" s="424">
        <v>331</v>
      </c>
    </row>
    <row r="709" spans="1:7">
      <c r="A709" s="413"/>
      <c r="B709" s="416" t="s">
        <v>309</v>
      </c>
      <c r="C709" s="417" t="s">
        <v>311</v>
      </c>
      <c r="D709" s="418"/>
      <c r="E709" s="418"/>
      <c r="F709" s="418"/>
      <c r="G709" s="419"/>
    </row>
    <row r="710" spans="1:7" ht="24.75">
      <c r="A710" s="420"/>
      <c r="B710" s="425" t="s">
        <v>156</v>
      </c>
      <c r="C710" s="426" t="s">
        <v>176</v>
      </c>
      <c r="D710" s="427" t="s">
        <v>6</v>
      </c>
      <c r="E710" s="428">
        <v>9475</v>
      </c>
      <c r="F710" s="427">
        <v>0.04</v>
      </c>
      <c r="G710" s="428">
        <v>379</v>
      </c>
    </row>
    <row r="711" spans="1:7">
      <c r="A711" s="420"/>
      <c r="B711" s="421" t="s">
        <v>158</v>
      </c>
      <c r="C711" s="422" t="s">
        <v>159</v>
      </c>
      <c r="D711" s="423" t="s">
        <v>153</v>
      </c>
      <c r="E711" s="424">
        <v>154179</v>
      </c>
      <c r="F711" s="423">
        <v>2E-3</v>
      </c>
      <c r="G711" s="424">
        <v>308</v>
      </c>
    </row>
    <row r="712" spans="1:7">
      <c r="A712" s="413"/>
      <c r="B712" s="416" t="s">
        <v>309</v>
      </c>
      <c r="C712" s="417" t="s">
        <v>312</v>
      </c>
      <c r="D712" s="418"/>
      <c r="E712" s="418"/>
      <c r="F712" s="418"/>
      <c r="G712" s="419"/>
    </row>
    <row r="713" spans="1:7">
      <c r="A713" s="420"/>
      <c r="B713" s="425" t="s">
        <v>169</v>
      </c>
      <c r="C713" s="426" t="s">
        <v>170</v>
      </c>
      <c r="D713" s="427" t="s">
        <v>13</v>
      </c>
      <c r="E713" s="428">
        <v>33113</v>
      </c>
      <c r="F713" s="427">
        <v>0.1</v>
      </c>
      <c r="G713" s="428">
        <v>3311</v>
      </c>
    </row>
    <row r="715" spans="1:7">
      <c r="A715" s="408">
        <v>52</v>
      </c>
      <c r="B715" s="409" t="s">
        <v>254</v>
      </c>
      <c r="C715" s="410" t="s">
        <v>256</v>
      </c>
      <c r="D715" s="411" t="s">
        <v>8</v>
      </c>
      <c r="E715" s="412"/>
      <c r="F715" s="394" t="s">
        <v>305</v>
      </c>
      <c r="G715" s="395">
        <v>8589</v>
      </c>
    </row>
    <row r="716" spans="1:7">
      <c r="A716" s="413"/>
      <c r="B716" s="414" t="s">
        <v>306</v>
      </c>
      <c r="C716" s="415" t="s">
        <v>9</v>
      </c>
      <c r="D716" s="415" t="s">
        <v>1</v>
      </c>
      <c r="E716" s="415" t="s">
        <v>307</v>
      </c>
      <c r="F716" s="415" t="s">
        <v>3</v>
      </c>
      <c r="G716" s="415" t="s">
        <v>308</v>
      </c>
    </row>
    <row r="717" spans="1:7">
      <c r="A717" s="413"/>
      <c r="B717" s="416" t="s">
        <v>309</v>
      </c>
      <c r="C717" s="417" t="s">
        <v>313</v>
      </c>
      <c r="D717" s="418"/>
      <c r="E717" s="418"/>
      <c r="F717" s="418"/>
      <c r="G717" s="419"/>
    </row>
    <row r="718" spans="1:7">
      <c r="A718" s="420"/>
      <c r="B718" s="421" t="s">
        <v>151</v>
      </c>
      <c r="C718" s="422" t="s">
        <v>152</v>
      </c>
      <c r="D718" s="423" t="s">
        <v>6</v>
      </c>
      <c r="E718" s="424">
        <v>1733</v>
      </c>
      <c r="F718" s="423">
        <v>0.2132</v>
      </c>
      <c r="G718" s="424">
        <v>369</v>
      </c>
    </row>
    <row r="719" spans="1:7">
      <c r="A719" s="413"/>
      <c r="B719" s="416" t="s">
        <v>309</v>
      </c>
      <c r="C719" s="417" t="s">
        <v>310</v>
      </c>
      <c r="D719" s="418"/>
      <c r="E719" s="418"/>
      <c r="F719" s="418"/>
      <c r="G719" s="419"/>
    </row>
    <row r="720" spans="1:7">
      <c r="A720" s="420"/>
      <c r="B720" s="421" t="s">
        <v>10</v>
      </c>
      <c r="C720" s="422" t="s">
        <v>11</v>
      </c>
      <c r="D720" s="423" t="s">
        <v>6</v>
      </c>
      <c r="E720" s="424">
        <v>3311</v>
      </c>
      <c r="F720" s="423">
        <v>0.2</v>
      </c>
      <c r="G720" s="424">
        <v>662</v>
      </c>
    </row>
    <row r="721" spans="1:7">
      <c r="A721" s="413"/>
      <c r="B721" s="416" t="s">
        <v>309</v>
      </c>
      <c r="C721" s="417" t="s">
        <v>311</v>
      </c>
      <c r="D721" s="418"/>
      <c r="E721" s="418"/>
      <c r="F721" s="418"/>
      <c r="G721" s="419"/>
    </row>
    <row r="722" spans="1:7">
      <c r="A722" s="420"/>
      <c r="B722" s="421" t="s">
        <v>158</v>
      </c>
      <c r="C722" s="422" t="s">
        <v>159</v>
      </c>
      <c r="D722" s="423" t="s">
        <v>153</v>
      </c>
      <c r="E722" s="424">
        <v>154179</v>
      </c>
      <c r="F722" s="423">
        <v>1.7999999999999999E-2</v>
      </c>
      <c r="G722" s="424">
        <v>2775</v>
      </c>
    </row>
    <row r="723" spans="1:7">
      <c r="A723" s="413"/>
      <c r="B723" s="416" t="s">
        <v>309</v>
      </c>
      <c r="C723" s="417" t="s">
        <v>312</v>
      </c>
      <c r="D723" s="418"/>
      <c r="E723" s="418"/>
      <c r="F723" s="418"/>
      <c r="G723" s="419"/>
    </row>
    <row r="724" spans="1:7">
      <c r="A724" s="420"/>
      <c r="B724" s="425" t="s">
        <v>156</v>
      </c>
      <c r="C724" s="426" t="s">
        <v>157</v>
      </c>
      <c r="D724" s="427" t="s">
        <v>13</v>
      </c>
      <c r="E724" s="428">
        <v>23915</v>
      </c>
      <c r="F724" s="427">
        <v>0.2</v>
      </c>
      <c r="G724" s="428">
        <v>4783</v>
      </c>
    </row>
    <row r="726" spans="1:7">
      <c r="A726" s="408">
        <v>53</v>
      </c>
      <c r="B726" s="409" t="s">
        <v>255</v>
      </c>
      <c r="C726" s="410" t="s">
        <v>257</v>
      </c>
      <c r="D726" s="411" t="s">
        <v>8</v>
      </c>
      <c r="E726" s="412"/>
      <c r="F726" s="394" t="s">
        <v>305</v>
      </c>
      <c r="G726" s="395">
        <v>8631</v>
      </c>
    </row>
    <row r="727" spans="1:7">
      <c r="A727" s="413"/>
      <c r="B727" s="414" t="s">
        <v>306</v>
      </c>
      <c r="C727" s="415" t="s">
        <v>9</v>
      </c>
      <c r="D727" s="415" t="s">
        <v>1</v>
      </c>
      <c r="E727" s="415" t="s">
        <v>307</v>
      </c>
      <c r="F727" s="415" t="s">
        <v>3</v>
      </c>
      <c r="G727" s="415" t="s">
        <v>308</v>
      </c>
    </row>
    <row r="728" spans="1:7">
      <c r="A728" s="413"/>
      <c r="B728" s="416" t="s">
        <v>309</v>
      </c>
      <c r="C728" s="417" t="s">
        <v>313</v>
      </c>
      <c r="D728" s="418"/>
      <c r="E728" s="418"/>
      <c r="F728" s="418"/>
      <c r="G728" s="419"/>
    </row>
    <row r="729" spans="1:7">
      <c r="A729" s="420"/>
      <c r="B729" s="421" t="s">
        <v>151</v>
      </c>
      <c r="C729" s="422" t="s">
        <v>152</v>
      </c>
      <c r="D729" s="423" t="s">
        <v>6</v>
      </c>
      <c r="E729" s="424">
        <v>1733</v>
      </c>
      <c r="F729" s="423">
        <v>0.23699999999999999</v>
      </c>
      <c r="G729" s="424">
        <v>411</v>
      </c>
    </row>
    <row r="730" spans="1:7">
      <c r="A730" s="413"/>
      <c r="B730" s="416" t="s">
        <v>309</v>
      </c>
      <c r="C730" s="417" t="s">
        <v>310</v>
      </c>
      <c r="D730" s="418"/>
      <c r="E730" s="418"/>
      <c r="F730" s="418"/>
      <c r="G730" s="419"/>
    </row>
    <row r="731" spans="1:7">
      <c r="A731" s="420"/>
      <c r="B731" s="421" t="s">
        <v>10</v>
      </c>
      <c r="C731" s="422" t="s">
        <v>11</v>
      </c>
      <c r="D731" s="423" t="s">
        <v>6</v>
      </c>
      <c r="E731" s="424">
        <v>3311</v>
      </c>
      <c r="F731" s="423">
        <v>0.2</v>
      </c>
      <c r="G731" s="424">
        <v>662</v>
      </c>
    </row>
    <row r="732" spans="1:7">
      <c r="A732" s="413"/>
      <c r="B732" s="416" t="s">
        <v>309</v>
      </c>
      <c r="C732" s="417" t="s">
        <v>311</v>
      </c>
      <c r="D732" s="418"/>
      <c r="E732" s="418"/>
      <c r="F732" s="418"/>
      <c r="G732" s="419"/>
    </row>
    <row r="733" spans="1:7">
      <c r="A733" s="420"/>
      <c r="B733" s="421" t="s">
        <v>158</v>
      </c>
      <c r="C733" s="422" t="s">
        <v>159</v>
      </c>
      <c r="D733" s="423" t="s">
        <v>153</v>
      </c>
      <c r="E733" s="424">
        <v>154179</v>
      </c>
      <c r="F733" s="423">
        <v>1.7999999999999999E-2</v>
      </c>
      <c r="G733" s="424">
        <v>2775</v>
      </c>
    </row>
    <row r="734" spans="1:7">
      <c r="A734" s="413"/>
      <c r="B734" s="416" t="s">
        <v>309</v>
      </c>
      <c r="C734" s="417" t="s">
        <v>312</v>
      </c>
      <c r="D734" s="418"/>
      <c r="E734" s="418"/>
      <c r="F734" s="418"/>
      <c r="G734" s="419"/>
    </row>
    <row r="735" spans="1:7">
      <c r="A735" s="420"/>
      <c r="B735" s="425" t="s">
        <v>156</v>
      </c>
      <c r="C735" s="426" t="s">
        <v>157</v>
      </c>
      <c r="D735" s="427" t="s">
        <v>13</v>
      </c>
      <c r="E735" s="428">
        <v>23915</v>
      </c>
      <c r="F735" s="427">
        <v>0.2</v>
      </c>
      <c r="G735" s="428">
        <v>4783</v>
      </c>
    </row>
    <row r="737" spans="1:7">
      <c r="A737" s="408">
        <v>54</v>
      </c>
      <c r="B737" s="409" t="s">
        <v>333</v>
      </c>
      <c r="C737" s="410" t="s">
        <v>334</v>
      </c>
      <c r="D737" s="411" t="s">
        <v>8</v>
      </c>
      <c r="E737" s="412"/>
      <c r="F737" s="394" t="s">
        <v>305</v>
      </c>
      <c r="G737" s="395">
        <v>7135</v>
      </c>
    </row>
    <row r="738" spans="1:7">
      <c r="A738" s="413"/>
      <c r="B738" s="414" t="s">
        <v>306</v>
      </c>
      <c r="C738" s="415" t="s">
        <v>9</v>
      </c>
      <c r="D738" s="415" t="s">
        <v>1</v>
      </c>
      <c r="E738" s="415" t="s">
        <v>307</v>
      </c>
      <c r="F738" s="415" t="s">
        <v>3</v>
      </c>
      <c r="G738" s="415" t="s">
        <v>308</v>
      </c>
    </row>
    <row r="739" spans="1:7">
      <c r="A739" s="413"/>
      <c r="B739" s="416" t="s">
        <v>309</v>
      </c>
      <c r="C739" s="417" t="s">
        <v>313</v>
      </c>
      <c r="D739" s="418"/>
      <c r="E739" s="418"/>
      <c r="F739" s="418"/>
      <c r="G739" s="419"/>
    </row>
    <row r="740" spans="1:7">
      <c r="A740" s="420"/>
      <c r="B740" s="421" t="s">
        <v>151</v>
      </c>
      <c r="C740" s="422" t="s">
        <v>152</v>
      </c>
      <c r="D740" s="423" t="s">
        <v>6</v>
      </c>
      <c r="E740" s="424">
        <v>1733</v>
      </c>
      <c r="F740" s="423">
        <v>0.159</v>
      </c>
      <c r="G740" s="424">
        <v>276</v>
      </c>
    </row>
    <row r="741" spans="1:7">
      <c r="A741" s="413"/>
      <c r="B741" s="416" t="s">
        <v>309</v>
      </c>
      <c r="C741" s="417" t="s">
        <v>310</v>
      </c>
      <c r="D741" s="418"/>
      <c r="E741" s="418"/>
      <c r="F741" s="418"/>
      <c r="G741" s="419"/>
    </row>
    <row r="742" spans="1:7">
      <c r="A742" s="420"/>
      <c r="B742" s="421" t="s">
        <v>10</v>
      </c>
      <c r="C742" s="422" t="s">
        <v>11</v>
      </c>
      <c r="D742" s="423" t="s">
        <v>6</v>
      </c>
      <c r="E742" s="424">
        <v>3311</v>
      </c>
      <c r="F742" s="423">
        <v>0.15</v>
      </c>
      <c r="G742" s="424">
        <v>497</v>
      </c>
    </row>
    <row r="743" spans="1:7">
      <c r="A743" s="413"/>
      <c r="B743" s="416" t="s">
        <v>309</v>
      </c>
      <c r="C743" s="417" t="s">
        <v>311</v>
      </c>
      <c r="D743" s="418"/>
      <c r="E743" s="418"/>
      <c r="F743" s="418"/>
      <c r="G743" s="419"/>
    </row>
    <row r="744" spans="1:7">
      <c r="A744" s="420"/>
      <c r="B744" s="421" t="s">
        <v>158</v>
      </c>
      <c r="C744" s="422" t="s">
        <v>159</v>
      </c>
      <c r="D744" s="423" t="s">
        <v>153</v>
      </c>
      <c r="E744" s="424">
        <v>154179</v>
      </c>
      <c r="F744" s="423">
        <v>1.7999999999999999E-2</v>
      </c>
      <c r="G744" s="424">
        <v>2775</v>
      </c>
    </row>
    <row r="745" spans="1:7">
      <c r="A745" s="413"/>
      <c r="B745" s="416" t="s">
        <v>309</v>
      </c>
      <c r="C745" s="417" t="s">
        <v>312</v>
      </c>
      <c r="D745" s="418"/>
      <c r="E745" s="418"/>
      <c r="F745" s="418"/>
      <c r="G745" s="419"/>
    </row>
    <row r="746" spans="1:7">
      <c r="A746" s="420"/>
      <c r="B746" s="425" t="s">
        <v>156</v>
      </c>
      <c r="C746" s="426" t="s">
        <v>157</v>
      </c>
      <c r="D746" s="427" t="s">
        <v>13</v>
      </c>
      <c r="E746" s="428">
        <v>23915</v>
      </c>
      <c r="F746" s="427">
        <v>0.15</v>
      </c>
      <c r="G746" s="428">
        <v>3587</v>
      </c>
    </row>
    <row r="748" spans="1:7">
      <c r="A748" s="408">
        <v>55</v>
      </c>
      <c r="B748" s="409" t="s">
        <v>402</v>
      </c>
      <c r="C748" s="410" t="s">
        <v>403</v>
      </c>
      <c r="D748" s="411" t="s">
        <v>8</v>
      </c>
      <c r="E748" s="412"/>
      <c r="F748" s="394" t="s">
        <v>305</v>
      </c>
      <c r="G748" s="395">
        <v>23827</v>
      </c>
    </row>
    <row r="749" spans="1:7">
      <c r="A749" s="413"/>
      <c r="B749" s="414" t="s">
        <v>306</v>
      </c>
      <c r="C749" s="415" t="s">
        <v>9</v>
      </c>
      <c r="D749" s="415" t="s">
        <v>1</v>
      </c>
      <c r="E749" s="415" t="s">
        <v>307</v>
      </c>
      <c r="F749" s="415" t="s">
        <v>3</v>
      </c>
      <c r="G749" s="415" t="s">
        <v>308</v>
      </c>
    </row>
    <row r="750" spans="1:7">
      <c r="A750" s="413"/>
      <c r="B750" s="416" t="s">
        <v>309</v>
      </c>
      <c r="C750" s="417" t="s">
        <v>310</v>
      </c>
      <c r="D750" s="418"/>
      <c r="E750" s="418"/>
      <c r="F750" s="418"/>
      <c r="G750" s="419"/>
    </row>
    <row r="751" spans="1:7">
      <c r="A751" s="420"/>
      <c r="B751" s="421" t="s">
        <v>10</v>
      </c>
      <c r="C751" s="422" t="s">
        <v>11</v>
      </c>
      <c r="D751" s="423" t="s">
        <v>6</v>
      </c>
      <c r="E751" s="424">
        <v>3311</v>
      </c>
      <c r="F751" s="423">
        <v>1</v>
      </c>
      <c r="G751" s="424">
        <v>3311</v>
      </c>
    </row>
    <row r="752" spans="1:7">
      <c r="A752" s="413"/>
      <c r="B752" s="416" t="s">
        <v>309</v>
      </c>
      <c r="C752" s="417" t="s">
        <v>311</v>
      </c>
      <c r="D752" s="418"/>
      <c r="E752" s="418"/>
      <c r="F752" s="418"/>
      <c r="G752" s="419"/>
    </row>
    <row r="753" spans="1:7">
      <c r="A753" s="420"/>
      <c r="B753" s="421" t="s">
        <v>158</v>
      </c>
      <c r="C753" s="422" t="s">
        <v>159</v>
      </c>
      <c r="D753" s="423" t="s">
        <v>153</v>
      </c>
      <c r="E753" s="424">
        <v>154179</v>
      </c>
      <c r="F753" s="423">
        <v>0.04</v>
      </c>
      <c r="G753" s="424">
        <v>6167</v>
      </c>
    </row>
    <row r="754" spans="1:7">
      <c r="A754" s="413"/>
      <c r="B754" s="416" t="s">
        <v>309</v>
      </c>
      <c r="C754" s="417" t="s">
        <v>312</v>
      </c>
      <c r="D754" s="418"/>
      <c r="E754" s="418"/>
      <c r="F754" s="418"/>
      <c r="G754" s="419"/>
    </row>
    <row r="755" spans="1:7">
      <c r="A755" s="420"/>
      <c r="B755" s="425" t="s">
        <v>156</v>
      </c>
      <c r="C755" s="426" t="s">
        <v>157</v>
      </c>
      <c r="D755" s="427" t="s">
        <v>13</v>
      </c>
      <c r="E755" s="428">
        <v>23915</v>
      </c>
      <c r="F755" s="427">
        <v>0.6</v>
      </c>
      <c r="G755" s="428">
        <v>14349</v>
      </c>
    </row>
    <row r="757" spans="1:7" ht="26.25">
      <c r="A757" s="408">
        <v>56</v>
      </c>
      <c r="B757" s="409" t="s">
        <v>266</v>
      </c>
      <c r="C757" s="410" t="s">
        <v>267</v>
      </c>
      <c r="D757" s="411" t="s">
        <v>8</v>
      </c>
      <c r="E757" s="412"/>
      <c r="F757" s="394" t="s">
        <v>305</v>
      </c>
      <c r="G757" s="395">
        <v>41102</v>
      </c>
    </row>
    <row r="758" spans="1:7">
      <c r="A758" s="413"/>
      <c r="B758" s="414" t="s">
        <v>306</v>
      </c>
      <c r="C758" s="415" t="s">
        <v>9</v>
      </c>
      <c r="D758" s="415" t="s">
        <v>1</v>
      </c>
      <c r="E758" s="415" t="s">
        <v>307</v>
      </c>
      <c r="F758" s="415" t="s">
        <v>3</v>
      </c>
      <c r="G758" s="415" t="s">
        <v>308</v>
      </c>
    </row>
    <row r="759" spans="1:7">
      <c r="A759" s="413"/>
      <c r="B759" s="416" t="s">
        <v>309</v>
      </c>
      <c r="C759" s="417" t="s">
        <v>313</v>
      </c>
      <c r="D759" s="418"/>
      <c r="E759" s="418"/>
      <c r="F759" s="418"/>
      <c r="G759" s="419"/>
    </row>
    <row r="760" spans="1:7">
      <c r="A760" s="420"/>
      <c r="B760" s="425" t="s">
        <v>151</v>
      </c>
      <c r="C760" s="426" t="s">
        <v>152</v>
      </c>
      <c r="D760" s="427" t="s">
        <v>6</v>
      </c>
      <c r="E760" s="428">
        <v>1733</v>
      </c>
      <c r="F760" s="427">
        <v>0.372</v>
      </c>
      <c r="G760" s="428">
        <v>645</v>
      </c>
    </row>
    <row r="761" spans="1:7">
      <c r="A761" s="420"/>
      <c r="B761" s="425" t="s">
        <v>271</v>
      </c>
      <c r="C761" s="426" t="s">
        <v>272</v>
      </c>
      <c r="D761" s="427" t="s">
        <v>6</v>
      </c>
      <c r="E761" s="428">
        <v>389</v>
      </c>
      <c r="F761" s="427">
        <v>8</v>
      </c>
      <c r="G761" s="428">
        <v>3112</v>
      </c>
    </row>
    <row r="762" spans="1:7">
      <c r="A762" s="420"/>
      <c r="B762" s="425" t="s">
        <v>273</v>
      </c>
      <c r="C762" s="426" t="s">
        <v>274</v>
      </c>
      <c r="D762" s="427" t="s">
        <v>6</v>
      </c>
      <c r="E762" s="428">
        <v>28837</v>
      </c>
      <c r="F762" s="427">
        <v>0.8</v>
      </c>
      <c r="G762" s="428">
        <v>23070</v>
      </c>
    </row>
    <row r="763" spans="1:7">
      <c r="A763" s="420"/>
      <c r="B763" s="421" t="s">
        <v>275</v>
      </c>
      <c r="C763" s="422" t="s">
        <v>276</v>
      </c>
      <c r="D763" s="423" t="s">
        <v>167</v>
      </c>
      <c r="E763" s="424">
        <v>11305</v>
      </c>
      <c r="F763" s="423">
        <v>0.1</v>
      </c>
      <c r="G763" s="424">
        <v>1131</v>
      </c>
    </row>
    <row r="764" spans="1:7">
      <c r="A764" s="413"/>
      <c r="B764" s="416" t="s">
        <v>309</v>
      </c>
      <c r="C764" s="417" t="s">
        <v>310</v>
      </c>
      <c r="D764" s="418"/>
      <c r="E764" s="418"/>
      <c r="F764" s="418"/>
      <c r="G764" s="419"/>
    </row>
    <row r="765" spans="1:7">
      <c r="A765" s="420"/>
      <c r="B765" s="421" t="s">
        <v>10</v>
      </c>
      <c r="C765" s="422" t="s">
        <v>11</v>
      </c>
      <c r="D765" s="423" t="s">
        <v>6</v>
      </c>
      <c r="E765" s="424">
        <v>3311</v>
      </c>
      <c r="F765" s="423">
        <v>0.3</v>
      </c>
      <c r="G765" s="424">
        <v>993</v>
      </c>
    </row>
    <row r="766" spans="1:7">
      <c r="A766" s="413"/>
      <c r="B766" s="416" t="s">
        <v>309</v>
      </c>
      <c r="C766" s="417" t="s">
        <v>311</v>
      </c>
      <c r="D766" s="418"/>
      <c r="E766" s="418"/>
      <c r="F766" s="418"/>
      <c r="G766" s="419"/>
    </row>
    <row r="767" spans="1:7" ht="24.75">
      <c r="A767" s="420"/>
      <c r="B767" s="425" t="s">
        <v>156</v>
      </c>
      <c r="C767" s="426" t="s">
        <v>176</v>
      </c>
      <c r="D767" s="427" t="s">
        <v>6</v>
      </c>
      <c r="E767" s="428">
        <v>9475</v>
      </c>
      <c r="F767" s="427">
        <v>0.1</v>
      </c>
      <c r="G767" s="428">
        <v>948</v>
      </c>
    </row>
    <row r="768" spans="1:7">
      <c r="A768" s="420"/>
      <c r="B768" s="425" t="s">
        <v>164</v>
      </c>
      <c r="C768" s="426" t="s">
        <v>165</v>
      </c>
      <c r="D768" s="427" t="s">
        <v>12</v>
      </c>
      <c r="E768" s="428">
        <v>171308</v>
      </c>
      <c r="F768" s="427">
        <v>2.8999999999999998E-3</v>
      </c>
      <c r="G768" s="428">
        <v>497</v>
      </c>
    </row>
    <row r="769" spans="1:7">
      <c r="A769" s="420"/>
      <c r="B769" s="425" t="s">
        <v>268</v>
      </c>
      <c r="C769" s="426" t="s">
        <v>269</v>
      </c>
      <c r="D769" s="427" t="s">
        <v>12</v>
      </c>
      <c r="E769" s="428">
        <v>18970</v>
      </c>
      <c r="F769" s="427">
        <v>2.5000000000000001E-2</v>
      </c>
      <c r="G769" s="428">
        <v>474</v>
      </c>
    </row>
    <row r="770" spans="1:7">
      <c r="A770" s="420"/>
      <c r="B770" s="421" t="s">
        <v>277</v>
      </c>
      <c r="C770" s="422" t="s">
        <v>278</v>
      </c>
      <c r="D770" s="423" t="s">
        <v>12</v>
      </c>
      <c r="E770" s="424">
        <v>2981</v>
      </c>
      <c r="F770" s="423">
        <v>0.1</v>
      </c>
      <c r="G770" s="424">
        <v>298</v>
      </c>
    </row>
    <row r="771" spans="1:7">
      <c r="A771" s="413"/>
      <c r="B771" s="416" t="s">
        <v>309</v>
      </c>
      <c r="C771" s="417" t="s">
        <v>312</v>
      </c>
      <c r="D771" s="418"/>
      <c r="E771" s="418"/>
      <c r="F771" s="418"/>
      <c r="G771" s="419"/>
    </row>
    <row r="772" spans="1:7">
      <c r="A772" s="420"/>
      <c r="B772" s="425" t="s">
        <v>169</v>
      </c>
      <c r="C772" s="426" t="s">
        <v>170</v>
      </c>
      <c r="D772" s="427" t="s">
        <v>13</v>
      </c>
      <c r="E772" s="428">
        <v>33113</v>
      </c>
      <c r="F772" s="427">
        <v>0.3</v>
      </c>
      <c r="G772" s="428">
        <v>9934</v>
      </c>
    </row>
    <row r="774" spans="1:7" ht="26.25">
      <c r="A774" s="408">
        <v>57</v>
      </c>
      <c r="B774" s="409" t="s">
        <v>586</v>
      </c>
      <c r="C774" s="410" t="s">
        <v>587</v>
      </c>
      <c r="D774" s="411" t="s">
        <v>8</v>
      </c>
      <c r="E774" s="412"/>
      <c r="F774" s="394" t="s">
        <v>305</v>
      </c>
      <c r="G774" s="395">
        <v>26888</v>
      </c>
    </row>
    <row r="775" spans="1:7">
      <c r="A775" s="413"/>
      <c r="B775" s="414" t="s">
        <v>306</v>
      </c>
      <c r="C775" s="415" t="s">
        <v>9</v>
      </c>
      <c r="D775" s="415" t="s">
        <v>1</v>
      </c>
      <c r="E775" s="415" t="s">
        <v>307</v>
      </c>
      <c r="F775" s="415" t="s">
        <v>3</v>
      </c>
      <c r="G775" s="415" t="s">
        <v>308</v>
      </c>
    </row>
    <row r="776" spans="1:7">
      <c r="A776" s="413"/>
      <c r="B776" s="416" t="s">
        <v>309</v>
      </c>
      <c r="C776" s="417" t="s">
        <v>313</v>
      </c>
      <c r="D776" s="418"/>
      <c r="E776" s="418"/>
      <c r="F776" s="418"/>
      <c r="G776" s="419"/>
    </row>
    <row r="777" spans="1:7">
      <c r="A777" s="420"/>
      <c r="B777" s="425" t="s">
        <v>151</v>
      </c>
      <c r="C777" s="426" t="s">
        <v>152</v>
      </c>
      <c r="D777" s="427" t="s">
        <v>6</v>
      </c>
      <c r="E777" s="428">
        <v>1733</v>
      </c>
      <c r="F777" s="427">
        <v>0.372</v>
      </c>
      <c r="G777" s="428">
        <v>645</v>
      </c>
    </row>
    <row r="778" spans="1:7">
      <c r="A778" s="420"/>
      <c r="B778" s="421" t="s">
        <v>588</v>
      </c>
      <c r="C778" s="422" t="s">
        <v>589</v>
      </c>
      <c r="D778" s="423" t="s">
        <v>6</v>
      </c>
      <c r="E778" s="424">
        <v>6181</v>
      </c>
      <c r="F778" s="423">
        <v>2.8</v>
      </c>
      <c r="G778" s="424">
        <v>17307</v>
      </c>
    </row>
    <row r="779" spans="1:7">
      <c r="A779" s="413"/>
      <c r="B779" s="416" t="s">
        <v>309</v>
      </c>
      <c r="C779" s="417" t="s">
        <v>310</v>
      </c>
      <c r="D779" s="418"/>
      <c r="E779" s="418"/>
      <c r="F779" s="418"/>
      <c r="G779" s="419"/>
    </row>
    <row r="780" spans="1:7">
      <c r="A780" s="420"/>
      <c r="B780" s="421" t="s">
        <v>10</v>
      </c>
      <c r="C780" s="422" t="s">
        <v>11</v>
      </c>
      <c r="D780" s="423" t="s">
        <v>6</v>
      </c>
      <c r="E780" s="424">
        <v>3311</v>
      </c>
      <c r="F780" s="423">
        <v>0.2</v>
      </c>
      <c r="G780" s="424">
        <v>662</v>
      </c>
    </row>
    <row r="781" spans="1:7">
      <c r="A781" s="413"/>
      <c r="B781" s="416" t="s">
        <v>309</v>
      </c>
      <c r="C781" s="417" t="s">
        <v>311</v>
      </c>
      <c r="D781" s="418"/>
      <c r="E781" s="418"/>
      <c r="F781" s="418"/>
      <c r="G781" s="419"/>
    </row>
    <row r="782" spans="1:7" ht="24.75">
      <c r="A782" s="420"/>
      <c r="B782" s="425" t="s">
        <v>156</v>
      </c>
      <c r="C782" s="426" t="s">
        <v>176</v>
      </c>
      <c r="D782" s="427" t="s">
        <v>6</v>
      </c>
      <c r="E782" s="428">
        <v>9475</v>
      </c>
      <c r="F782" s="427">
        <v>0.12</v>
      </c>
      <c r="G782" s="428">
        <v>1137</v>
      </c>
    </row>
    <row r="783" spans="1:7">
      <c r="A783" s="420"/>
      <c r="B783" s="421" t="s">
        <v>164</v>
      </c>
      <c r="C783" s="422" t="s">
        <v>165</v>
      </c>
      <c r="D783" s="423" t="s">
        <v>12</v>
      </c>
      <c r="E783" s="424">
        <v>171308</v>
      </c>
      <c r="F783" s="423">
        <v>3.0000000000000001E-3</v>
      </c>
      <c r="G783" s="424">
        <v>514</v>
      </c>
    </row>
    <row r="784" spans="1:7">
      <c r="A784" s="413"/>
      <c r="B784" s="416" t="s">
        <v>309</v>
      </c>
      <c r="C784" s="417" t="s">
        <v>312</v>
      </c>
      <c r="D784" s="418"/>
      <c r="E784" s="418"/>
      <c r="F784" s="418"/>
      <c r="G784" s="419"/>
    </row>
    <row r="785" spans="1:7">
      <c r="A785" s="420"/>
      <c r="B785" s="425" t="s">
        <v>169</v>
      </c>
      <c r="C785" s="426" t="s">
        <v>170</v>
      </c>
      <c r="D785" s="427" t="s">
        <v>13</v>
      </c>
      <c r="E785" s="428">
        <v>33113</v>
      </c>
      <c r="F785" s="427">
        <v>0.2</v>
      </c>
      <c r="G785" s="428">
        <v>6623</v>
      </c>
    </row>
    <row r="787" spans="1:7" ht="26.25">
      <c r="A787" s="408">
        <v>58</v>
      </c>
      <c r="B787" s="409" t="s">
        <v>590</v>
      </c>
      <c r="C787" s="410" t="s">
        <v>591</v>
      </c>
      <c r="D787" s="411" t="s">
        <v>6</v>
      </c>
      <c r="E787" s="412"/>
      <c r="F787" s="394" t="s">
        <v>305</v>
      </c>
      <c r="G787" s="395">
        <v>713788</v>
      </c>
    </row>
    <row r="788" spans="1:7">
      <c r="A788" s="413"/>
      <c r="B788" s="414" t="s">
        <v>306</v>
      </c>
      <c r="C788" s="415" t="s">
        <v>9</v>
      </c>
      <c r="D788" s="415" t="s">
        <v>1</v>
      </c>
      <c r="E788" s="415" t="s">
        <v>307</v>
      </c>
      <c r="F788" s="415" t="s">
        <v>3</v>
      </c>
      <c r="G788" s="415" t="s">
        <v>308</v>
      </c>
    </row>
    <row r="789" spans="1:7">
      <c r="A789" s="413"/>
      <c r="B789" s="416" t="s">
        <v>309</v>
      </c>
      <c r="C789" s="417" t="s">
        <v>313</v>
      </c>
      <c r="D789" s="418"/>
      <c r="E789" s="418"/>
      <c r="F789" s="418"/>
      <c r="G789" s="419"/>
    </row>
    <row r="790" spans="1:7" ht="24.75">
      <c r="A790" s="420"/>
      <c r="B790" s="425" t="s">
        <v>592</v>
      </c>
      <c r="C790" s="426" t="s">
        <v>593</v>
      </c>
      <c r="D790" s="427" t="s">
        <v>6</v>
      </c>
      <c r="E790" s="428">
        <v>659176</v>
      </c>
      <c r="F790" s="427">
        <v>1</v>
      </c>
      <c r="G790" s="428">
        <v>659176</v>
      </c>
    </row>
    <row r="791" spans="1:7">
      <c r="A791" s="420"/>
      <c r="B791" s="425" t="s">
        <v>151</v>
      </c>
      <c r="C791" s="426" t="s">
        <v>152</v>
      </c>
      <c r="D791" s="427" t="s">
        <v>6</v>
      </c>
      <c r="E791" s="428">
        <v>1733</v>
      </c>
      <c r="F791" s="427">
        <v>0.04</v>
      </c>
      <c r="G791" s="428">
        <v>69</v>
      </c>
    </row>
    <row r="792" spans="1:7">
      <c r="A792" s="420"/>
      <c r="B792" s="421" t="s">
        <v>214</v>
      </c>
      <c r="C792" s="422" t="s">
        <v>223</v>
      </c>
      <c r="D792" s="423" t="s">
        <v>53</v>
      </c>
      <c r="E792" s="424">
        <v>2811</v>
      </c>
      <c r="F792" s="423">
        <v>0.5</v>
      </c>
      <c r="G792" s="424">
        <v>1406</v>
      </c>
    </row>
    <row r="793" spans="1:7">
      <c r="A793" s="413"/>
      <c r="B793" s="416" t="s">
        <v>309</v>
      </c>
      <c r="C793" s="417" t="s">
        <v>310</v>
      </c>
      <c r="D793" s="418"/>
      <c r="E793" s="418"/>
      <c r="F793" s="418"/>
      <c r="G793" s="419"/>
    </row>
    <row r="794" spans="1:7">
      <c r="A794" s="420"/>
      <c r="B794" s="421" t="s">
        <v>10</v>
      </c>
      <c r="C794" s="422" t="s">
        <v>11</v>
      </c>
      <c r="D794" s="423" t="s">
        <v>6</v>
      </c>
      <c r="E794" s="424">
        <v>3311</v>
      </c>
      <c r="F794" s="423">
        <v>0.15</v>
      </c>
      <c r="G794" s="424">
        <v>497</v>
      </c>
    </row>
    <row r="795" spans="1:7">
      <c r="A795" s="413"/>
      <c r="B795" s="416" t="s">
        <v>309</v>
      </c>
      <c r="C795" s="417" t="s">
        <v>311</v>
      </c>
      <c r="D795" s="418"/>
      <c r="E795" s="418"/>
      <c r="F795" s="418"/>
      <c r="G795" s="419"/>
    </row>
    <row r="796" spans="1:7">
      <c r="A796" s="420"/>
      <c r="B796" s="421" t="s">
        <v>164</v>
      </c>
      <c r="C796" s="422" t="s">
        <v>165</v>
      </c>
      <c r="D796" s="423" t="s">
        <v>12</v>
      </c>
      <c r="E796" s="424">
        <v>171308</v>
      </c>
      <c r="F796" s="423">
        <v>2.0000000000000001E-4</v>
      </c>
      <c r="G796" s="424">
        <v>34</v>
      </c>
    </row>
    <row r="797" spans="1:7">
      <c r="A797" s="413"/>
      <c r="B797" s="416" t="s">
        <v>309</v>
      </c>
      <c r="C797" s="417" t="s">
        <v>312</v>
      </c>
      <c r="D797" s="418"/>
      <c r="E797" s="418"/>
      <c r="F797" s="418"/>
      <c r="G797" s="419"/>
    </row>
    <row r="798" spans="1:7">
      <c r="A798" s="420"/>
      <c r="B798" s="425" t="s">
        <v>10</v>
      </c>
      <c r="C798" s="426" t="s">
        <v>199</v>
      </c>
      <c r="D798" s="427" t="s">
        <v>13</v>
      </c>
      <c r="E798" s="428">
        <v>26303</v>
      </c>
      <c r="F798" s="427">
        <v>2</v>
      </c>
      <c r="G798" s="428">
        <v>52606</v>
      </c>
    </row>
    <row r="800" spans="1:7">
      <c r="A800" s="408">
        <v>59</v>
      </c>
      <c r="B800" s="409" t="s">
        <v>594</v>
      </c>
      <c r="C800" s="410" t="s">
        <v>595</v>
      </c>
      <c r="D800" s="411" t="s">
        <v>8</v>
      </c>
      <c r="E800" s="412"/>
      <c r="F800" s="394" t="s">
        <v>305</v>
      </c>
      <c r="G800" s="395">
        <v>63538</v>
      </c>
    </row>
    <row r="801" spans="1:7">
      <c r="A801" s="413"/>
      <c r="B801" s="414" t="s">
        <v>306</v>
      </c>
      <c r="C801" s="415" t="s">
        <v>9</v>
      </c>
      <c r="D801" s="415" t="s">
        <v>1</v>
      </c>
      <c r="E801" s="415" t="s">
        <v>307</v>
      </c>
      <c r="F801" s="415" t="s">
        <v>3</v>
      </c>
      <c r="G801" s="415" t="s">
        <v>308</v>
      </c>
    </row>
    <row r="802" spans="1:7">
      <c r="A802" s="413"/>
      <c r="B802" s="416" t="s">
        <v>309</v>
      </c>
      <c r="C802" s="417" t="s">
        <v>313</v>
      </c>
      <c r="D802" s="418"/>
      <c r="E802" s="418"/>
      <c r="F802" s="418"/>
      <c r="G802" s="419"/>
    </row>
    <row r="803" spans="1:7">
      <c r="A803" s="420"/>
      <c r="B803" s="425" t="s">
        <v>151</v>
      </c>
      <c r="C803" s="426" t="s">
        <v>152</v>
      </c>
      <c r="D803" s="427" t="s">
        <v>6</v>
      </c>
      <c r="E803" s="428">
        <v>1733</v>
      </c>
      <c r="F803" s="427">
        <v>0.71109999999999995</v>
      </c>
      <c r="G803" s="428">
        <v>1232</v>
      </c>
    </row>
    <row r="804" spans="1:7">
      <c r="A804" s="420"/>
      <c r="B804" s="425" t="s">
        <v>596</v>
      </c>
      <c r="C804" s="426" t="s">
        <v>597</v>
      </c>
      <c r="D804" s="427" t="s">
        <v>8</v>
      </c>
      <c r="E804" s="428">
        <v>43259</v>
      </c>
      <c r="F804" s="427">
        <v>1</v>
      </c>
      <c r="G804" s="428">
        <v>43259</v>
      </c>
    </row>
    <row r="805" spans="1:7">
      <c r="A805" s="420"/>
      <c r="B805" s="421" t="s">
        <v>598</v>
      </c>
      <c r="C805" s="422" t="s">
        <v>599</v>
      </c>
      <c r="D805" s="423" t="s">
        <v>6</v>
      </c>
      <c r="E805" s="424">
        <v>14607</v>
      </c>
      <c r="F805" s="423">
        <v>0.17</v>
      </c>
      <c r="G805" s="424">
        <v>2483</v>
      </c>
    </row>
    <row r="806" spans="1:7">
      <c r="A806" s="413"/>
      <c r="B806" s="416" t="s">
        <v>309</v>
      </c>
      <c r="C806" s="417" t="s">
        <v>310</v>
      </c>
      <c r="D806" s="418"/>
      <c r="E806" s="418"/>
      <c r="F806" s="418"/>
      <c r="G806" s="419"/>
    </row>
    <row r="807" spans="1:7">
      <c r="A807" s="420"/>
      <c r="B807" s="421" t="s">
        <v>10</v>
      </c>
      <c r="C807" s="422" t="s">
        <v>11</v>
      </c>
      <c r="D807" s="423" t="s">
        <v>6</v>
      </c>
      <c r="E807" s="424">
        <v>3311</v>
      </c>
      <c r="F807" s="423">
        <v>0.4</v>
      </c>
      <c r="G807" s="424">
        <v>1324</v>
      </c>
    </row>
    <row r="808" spans="1:7">
      <c r="A808" s="413"/>
      <c r="B808" s="416" t="s">
        <v>309</v>
      </c>
      <c r="C808" s="417" t="s">
        <v>311</v>
      </c>
      <c r="D808" s="418"/>
      <c r="E808" s="418"/>
      <c r="F808" s="418"/>
      <c r="G808" s="419"/>
    </row>
    <row r="809" spans="1:7">
      <c r="A809" s="420"/>
      <c r="B809" s="421" t="s">
        <v>164</v>
      </c>
      <c r="C809" s="422" t="s">
        <v>165</v>
      </c>
      <c r="D809" s="423" t="s">
        <v>12</v>
      </c>
      <c r="E809" s="424">
        <v>171308</v>
      </c>
      <c r="F809" s="423">
        <v>5.1999999999999998E-3</v>
      </c>
      <c r="G809" s="424">
        <v>891</v>
      </c>
    </row>
    <row r="810" spans="1:7">
      <c r="A810" s="413"/>
      <c r="B810" s="416" t="s">
        <v>309</v>
      </c>
      <c r="C810" s="417" t="s">
        <v>312</v>
      </c>
      <c r="D810" s="418"/>
      <c r="E810" s="418"/>
      <c r="F810" s="418"/>
      <c r="G810" s="419"/>
    </row>
    <row r="811" spans="1:7">
      <c r="A811" s="420"/>
      <c r="B811" s="425" t="s">
        <v>156</v>
      </c>
      <c r="C811" s="426" t="s">
        <v>157</v>
      </c>
      <c r="D811" s="427" t="s">
        <v>13</v>
      </c>
      <c r="E811" s="428">
        <v>23915</v>
      </c>
      <c r="F811" s="427">
        <v>0.6</v>
      </c>
      <c r="G811" s="428">
        <v>14349</v>
      </c>
    </row>
    <row r="813" spans="1:7" ht="26.25">
      <c r="A813" s="408">
        <v>60</v>
      </c>
      <c r="B813" s="409" t="s">
        <v>600</v>
      </c>
      <c r="C813" s="410" t="s">
        <v>601</v>
      </c>
      <c r="D813" s="411" t="s">
        <v>7</v>
      </c>
      <c r="E813" s="412"/>
      <c r="F813" s="394" t="s">
        <v>305</v>
      </c>
      <c r="G813" s="395">
        <v>595858</v>
      </c>
    </row>
    <row r="814" spans="1:7">
      <c r="A814" s="413"/>
      <c r="B814" s="414" t="s">
        <v>306</v>
      </c>
      <c r="C814" s="415" t="s">
        <v>9</v>
      </c>
      <c r="D814" s="415" t="s">
        <v>1</v>
      </c>
      <c r="E814" s="415" t="s">
        <v>307</v>
      </c>
      <c r="F814" s="415" t="s">
        <v>3</v>
      </c>
      <c r="G814" s="415" t="s">
        <v>308</v>
      </c>
    </row>
    <row r="815" spans="1:7">
      <c r="A815" s="413"/>
      <c r="B815" s="416" t="s">
        <v>309</v>
      </c>
      <c r="C815" s="417" t="s">
        <v>313</v>
      </c>
      <c r="D815" s="418"/>
      <c r="E815" s="418"/>
      <c r="F815" s="418"/>
      <c r="G815" s="419"/>
    </row>
    <row r="816" spans="1:7">
      <c r="A816" s="420"/>
      <c r="B816" s="421" t="s">
        <v>602</v>
      </c>
      <c r="C816" s="422" t="s">
        <v>603</v>
      </c>
      <c r="D816" s="423" t="s">
        <v>7</v>
      </c>
      <c r="E816" s="424">
        <v>586512</v>
      </c>
      <c r="F816" s="423">
        <v>1</v>
      </c>
      <c r="G816" s="424">
        <v>586512</v>
      </c>
    </row>
    <row r="817" spans="1:7">
      <c r="A817" s="413"/>
      <c r="B817" s="416" t="s">
        <v>309</v>
      </c>
      <c r="C817" s="417" t="s">
        <v>310</v>
      </c>
      <c r="D817" s="418"/>
      <c r="E817" s="418"/>
      <c r="F817" s="418"/>
      <c r="G817" s="419"/>
    </row>
    <row r="818" spans="1:7">
      <c r="A818" s="420"/>
      <c r="B818" s="421" t="s">
        <v>10</v>
      </c>
      <c r="C818" s="422" t="s">
        <v>11</v>
      </c>
      <c r="D818" s="423" t="s">
        <v>6</v>
      </c>
      <c r="E818" s="424">
        <v>3311</v>
      </c>
      <c r="F818" s="423">
        <v>0.15</v>
      </c>
      <c r="G818" s="424">
        <v>497</v>
      </c>
    </row>
    <row r="819" spans="1:7">
      <c r="A819" s="413"/>
      <c r="B819" s="416" t="s">
        <v>309</v>
      </c>
      <c r="C819" s="417" t="s">
        <v>312</v>
      </c>
      <c r="D819" s="418"/>
      <c r="E819" s="418"/>
      <c r="F819" s="418"/>
      <c r="G819" s="419"/>
    </row>
    <row r="820" spans="1:7">
      <c r="A820" s="420"/>
      <c r="B820" s="425" t="s">
        <v>156</v>
      </c>
      <c r="C820" s="426" t="s">
        <v>157</v>
      </c>
      <c r="D820" s="427" t="s">
        <v>13</v>
      </c>
      <c r="E820" s="428">
        <v>23915</v>
      </c>
      <c r="F820" s="427">
        <v>0.37</v>
      </c>
      <c r="G820" s="428">
        <v>8849</v>
      </c>
    </row>
    <row r="822" spans="1:7" ht="77.25">
      <c r="A822" s="408">
        <v>61</v>
      </c>
      <c r="B822" s="409" t="s">
        <v>604</v>
      </c>
      <c r="C822" s="410" t="s">
        <v>605</v>
      </c>
      <c r="D822" s="411" t="s">
        <v>6</v>
      </c>
      <c r="E822" s="412"/>
      <c r="F822" s="394" t="s">
        <v>305</v>
      </c>
      <c r="G822" s="395">
        <v>8593575</v>
      </c>
    </row>
    <row r="823" spans="1:7">
      <c r="A823" s="413"/>
      <c r="B823" s="414" t="s">
        <v>306</v>
      </c>
      <c r="C823" s="415" t="s">
        <v>9</v>
      </c>
      <c r="D823" s="415" t="s">
        <v>1</v>
      </c>
      <c r="E823" s="415" t="s">
        <v>307</v>
      </c>
      <c r="F823" s="415" t="s">
        <v>3</v>
      </c>
      <c r="G823" s="415" t="s">
        <v>308</v>
      </c>
    </row>
    <row r="824" spans="1:7">
      <c r="A824" s="413"/>
      <c r="B824" s="416" t="s">
        <v>309</v>
      </c>
      <c r="C824" s="417" t="s">
        <v>313</v>
      </c>
      <c r="D824" s="418"/>
      <c r="E824" s="418"/>
      <c r="F824" s="418"/>
      <c r="G824" s="419"/>
    </row>
    <row r="825" spans="1:7">
      <c r="A825" s="420"/>
      <c r="B825" s="425" t="s">
        <v>151</v>
      </c>
      <c r="C825" s="426" t="s">
        <v>152</v>
      </c>
      <c r="D825" s="427" t="s">
        <v>6</v>
      </c>
      <c r="E825" s="428">
        <v>1733</v>
      </c>
      <c r="F825" s="427">
        <v>1</v>
      </c>
      <c r="G825" s="428">
        <v>1733</v>
      </c>
    </row>
    <row r="826" spans="1:7" ht="60.75">
      <c r="A826" s="420"/>
      <c r="B826" s="421" t="s">
        <v>606</v>
      </c>
      <c r="C826" s="422" t="s">
        <v>607</v>
      </c>
      <c r="D826" s="423" t="s">
        <v>6</v>
      </c>
      <c r="E826" s="424">
        <v>8269836</v>
      </c>
      <c r="F826" s="423">
        <v>1</v>
      </c>
      <c r="G826" s="424">
        <v>8269836</v>
      </c>
    </row>
    <row r="827" spans="1:7">
      <c r="A827" s="413"/>
      <c r="B827" s="416" t="s">
        <v>309</v>
      </c>
      <c r="C827" s="417" t="s">
        <v>310</v>
      </c>
      <c r="D827" s="418"/>
      <c r="E827" s="418"/>
      <c r="F827" s="418"/>
      <c r="G827" s="419"/>
    </row>
    <row r="828" spans="1:7">
      <c r="A828" s="420"/>
      <c r="B828" s="421" t="s">
        <v>10</v>
      </c>
      <c r="C828" s="422" t="s">
        <v>11</v>
      </c>
      <c r="D828" s="423" t="s">
        <v>6</v>
      </c>
      <c r="E828" s="424">
        <v>3311</v>
      </c>
      <c r="F828" s="423">
        <v>0.5</v>
      </c>
      <c r="G828" s="424">
        <v>1656</v>
      </c>
    </row>
    <row r="829" spans="1:7">
      <c r="A829" s="413"/>
      <c r="B829" s="416" t="s">
        <v>309</v>
      </c>
      <c r="C829" s="417" t="s">
        <v>311</v>
      </c>
      <c r="D829" s="418"/>
      <c r="E829" s="418"/>
      <c r="F829" s="418"/>
      <c r="G829" s="419"/>
    </row>
    <row r="830" spans="1:7">
      <c r="A830" s="420"/>
      <c r="B830" s="421" t="s">
        <v>158</v>
      </c>
      <c r="C830" s="422" t="s">
        <v>159</v>
      </c>
      <c r="D830" s="423" t="s">
        <v>153</v>
      </c>
      <c r="E830" s="424">
        <v>154179</v>
      </c>
      <c r="F830" s="423">
        <v>0.5</v>
      </c>
      <c r="G830" s="424">
        <v>77090</v>
      </c>
    </row>
    <row r="831" spans="1:7">
      <c r="A831" s="413"/>
      <c r="B831" s="416" t="s">
        <v>309</v>
      </c>
      <c r="C831" s="417" t="s">
        <v>312</v>
      </c>
      <c r="D831" s="418"/>
      <c r="E831" s="418"/>
      <c r="F831" s="418"/>
      <c r="G831" s="419"/>
    </row>
    <row r="832" spans="1:7">
      <c r="A832" s="420"/>
      <c r="B832" s="425" t="s">
        <v>574</v>
      </c>
      <c r="C832" s="426" t="s">
        <v>575</v>
      </c>
      <c r="D832" s="427" t="s">
        <v>13</v>
      </c>
      <c r="E832" s="428">
        <v>48652</v>
      </c>
      <c r="F832" s="427">
        <v>5</v>
      </c>
      <c r="G832" s="428">
        <v>243260</v>
      </c>
    </row>
    <row r="834" spans="1:7" ht="26.25">
      <c r="A834" s="408">
        <v>62</v>
      </c>
      <c r="B834" s="409" t="s">
        <v>416</v>
      </c>
      <c r="C834" s="410" t="s">
        <v>417</v>
      </c>
      <c r="D834" s="411" t="s">
        <v>5</v>
      </c>
      <c r="E834" s="412"/>
      <c r="F834" s="394" t="s">
        <v>305</v>
      </c>
      <c r="G834" s="395">
        <v>32332</v>
      </c>
    </row>
    <row r="835" spans="1:7">
      <c r="A835" s="413"/>
      <c r="B835" s="414" t="s">
        <v>306</v>
      </c>
      <c r="C835" s="415" t="s">
        <v>9</v>
      </c>
      <c r="D835" s="415" t="s">
        <v>1</v>
      </c>
      <c r="E835" s="415" t="s">
        <v>307</v>
      </c>
      <c r="F835" s="415" t="s">
        <v>3</v>
      </c>
      <c r="G835" s="415" t="s">
        <v>308</v>
      </c>
    </row>
    <row r="836" spans="1:7">
      <c r="A836" s="413"/>
      <c r="B836" s="416" t="s">
        <v>309</v>
      </c>
      <c r="C836" s="417" t="s">
        <v>313</v>
      </c>
      <c r="D836" s="418"/>
      <c r="E836" s="418"/>
      <c r="F836" s="418"/>
      <c r="G836" s="419"/>
    </row>
    <row r="837" spans="1:7">
      <c r="A837" s="420"/>
      <c r="B837" s="421" t="s">
        <v>151</v>
      </c>
      <c r="C837" s="422" t="s">
        <v>152</v>
      </c>
      <c r="D837" s="423" t="s">
        <v>6</v>
      </c>
      <c r="E837" s="424">
        <v>1733</v>
      </c>
      <c r="F837" s="423">
        <v>0.6</v>
      </c>
      <c r="G837" s="424">
        <v>1040</v>
      </c>
    </row>
    <row r="838" spans="1:7">
      <c r="A838" s="413"/>
      <c r="B838" s="416" t="s">
        <v>309</v>
      </c>
      <c r="C838" s="417" t="s">
        <v>310</v>
      </c>
      <c r="D838" s="418"/>
      <c r="E838" s="418"/>
      <c r="F838" s="418"/>
      <c r="G838" s="419"/>
    </row>
    <row r="839" spans="1:7">
      <c r="A839" s="420"/>
      <c r="B839" s="421" t="s">
        <v>10</v>
      </c>
      <c r="C839" s="422" t="s">
        <v>11</v>
      </c>
      <c r="D839" s="423" t="s">
        <v>6</v>
      </c>
      <c r="E839" s="424">
        <v>3311</v>
      </c>
      <c r="F839" s="423">
        <v>0.5</v>
      </c>
      <c r="G839" s="424">
        <v>1656</v>
      </c>
    </row>
    <row r="840" spans="1:7">
      <c r="A840" s="413"/>
      <c r="B840" s="416" t="s">
        <v>309</v>
      </c>
      <c r="C840" s="417" t="s">
        <v>311</v>
      </c>
      <c r="D840" s="418"/>
      <c r="E840" s="418"/>
      <c r="F840" s="418"/>
      <c r="G840" s="419"/>
    </row>
    <row r="841" spans="1:7">
      <c r="A841" s="420"/>
      <c r="B841" s="421" t="s">
        <v>422</v>
      </c>
      <c r="C841" s="422" t="s">
        <v>433</v>
      </c>
      <c r="D841" s="423" t="s">
        <v>12</v>
      </c>
      <c r="E841" s="424">
        <v>56533</v>
      </c>
      <c r="F841" s="423">
        <v>0.15</v>
      </c>
      <c r="G841" s="424">
        <v>8480</v>
      </c>
    </row>
    <row r="842" spans="1:7">
      <c r="A842" s="413"/>
      <c r="B842" s="416" t="s">
        <v>309</v>
      </c>
      <c r="C842" s="417" t="s">
        <v>312</v>
      </c>
      <c r="D842" s="418"/>
      <c r="E842" s="418"/>
      <c r="F842" s="418"/>
      <c r="G842" s="419"/>
    </row>
    <row r="843" spans="1:7">
      <c r="A843" s="420"/>
      <c r="B843" s="425" t="s">
        <v>160</v>
      </c>
      <c r="C843" s="426" t="s">
        <v>161</v>
      </c>
      <c r="D843" s="427" t="s">
        <v>13</v>
      </c>
      <c r="E843" s="428">
        <v>42311</v>
      </c>
      <c r="F843" s="427">
        <v>0.5</v>
      </c>
      <c r="G843" s="428">
        <v>21156</v>
      </c>
    </row>
    <row r="845" spans="1:7" ht="26.25">
      <c r="A845" s="408">
        <v>63</v>
      </c>
      <c r="B845" s="409" t="s">
        <v>418</v>
      </c>
      <c r="C845" s="410" t="s">
        <v>419</v>
      </c>
      <c r="D845" s="411" t="s">
        <v>7</v>
      </c>
      <c r="E845" s="412"/>
      <c r="F845" s="394" t="s">
        <v>305</v>
      </c>
      <c r="G845" s="395">
        <v>129831</v>
      </c>
    </row>
    <row r="846" spans="1:7">
      <c r="A846" s="413"/>
      <c r="B846" s="414" t="s">
        <v>306</v>
      </c>
      <c r="C846" s="415" t="s">
        <v>9</v>
      </c>
      <c r="D846" s="415" t="s">
        <v>1</v>
      </c>
      <c r="E846" s="415" t="s">
        <v>307</v>
      </c>
      <c r="F846" s="415" t="s">
        <v>3</v>
      </c>
      <c r="G846" s="415" t="s">
        <v>308</v>
      </c>
    </row>
    <row r="847" spans="1:7">
      <c r="A847" s="413"/>
      <c r="B847" s="416" t="s">
        <v>309</v>
      </c>
      <c r="C847" s="417" t="s">
        <v>313</v>
      </c>
      <c r="D847" s="418"/>
      <c r="E847" s="418"/>
      <c r="F847" s="418"/>
      <c r="G847" s="419"/>
    </row>
    <row r="848" spans="1:7">
      <c r="A848" s="420"/>
      <c r="B848" s="425" t="s">
        <v>151</v>
      </c>
      <c r="C848" s="426" t="s">
        <v>152</v>
      </c>
      <c r="D848" s="427" t="s">
        <v>6</v>
      </c>
      <c r="E848" s="428">
        <v>1733</v>
      </c>
      <c r="F848" s="427">
        <v>0.1</v>
      </c>
      <c r="G848" s="428">
        <v>173</v>
      </c>
    </row>
    <row r="849" spans="1:7">
      <c r="A849" s="420"/>
      <c r="B849" s="425" t="s">
        <v>434</v>
      </c>
      <c r="C849" s="426" t="s">
        <v>435</v>
      </c>
      <c r="D849" s="427" t="s">
        <v>5</v>
      </c>
      <c r="E849" s="428">
        <v>76165</v>
      </c>
      <c r="F849" s="427">
        <v>0.41399999999999998</v>
      </c>
      <c r="G849" s="428">
        <v>31532</v>
      </c>
    </row>
    <row r="850" spans="1:7">
      <c r="A850" s="420"/>
      <c r="B850" s="425" t="s">
        <v>436</v>
      </c>
      <c r="C850" s="426" t="s">
        <v>437</v>
      </c>
      <c r="D850" s="427" t="s">
        <v>8</v>
      </c>
      <c r="E850" s="428">
        <v>9637</v>
      </c>
      <c r="F850" s="427">
        <v>3.36</v>
      </c>
      <c r="G850" s="428">
        <v>32380</v>
      </c>
    </row>
    <row r="851" spans="1:7">
      <c r="A851" s="420"/>
      <c r="B851" s="421" t="s">
        <v>438</v>
      </c>
      <c r="C851" s="422" t="s">
        <v>439</v>
      </c>
      <c r="D851" s="423" t="s">
        <v>167</v>
      </c>
      <c r="E851" s="424">
        <v>39366</v>
      </c>
      <c r="F851" s="423">
        <v>1.01</v>
      </c>
      <c r="G851" s="424">
        <v>39760</v>
      </c>
    </row>
    <row r="852" spans="1:7">
      <c r="A852" s="413"/>
      <c r="B852" s="416" t="s">
        <v>309</v>
      </c>
      <c r="C852" s="417" t="s">
        <v>310</v>
      </c>
      <c r="D852" s="418"/>
      <c r="E852" s="418"/>
      <c r="F852" s="418"/>
      <c r="G852" s="419"/>
    </row>
    <row r="853" spans="1:7">
      <c r="A853" s="420"/>
      <c r="B853" s="421" t="s">
        <v>10</v>
      </c>
      <c r="C853" s="422" t="s">
        <v>11</v>
      </c>
      <c r="D853" s="423" t="s">
        <v>6</v>
      </c>
      <c r="E853" s="424">
        <v>3311</v>
      </c>
      <c r="F853" s="423">
        <v>0.2</v>
      </c>
      <c r="G853" s="424">
        <v>662</v>
      </c>
    </row>
    <row r="854" spans="1:7">
      <c r="A854" s="413"/>
      <c r="B854" s="416" t="s">
        <v>309</v>
      </c>
      <c r="C854" s="417" t="s">
        <v>311</v>
      </c>
      <c r="D854" s="418"/>
      <c r="E854" s="418"/>
      <c r="F854" s="418"/>
      <c r="G854" s="419"/>
    </row>
    <row r="855" spans="1:7">
      <c r="A855" s="420"/>
      <c r="B855" s="421" t="s">
        <v>164</v>
      </c>
      <c r="C855" s="422" t="s">
        <v>165</v>
      </c>
      <c r="D855" s="423" t="s">
        <v>12</v>
      </c>
      <c r="E855" s="424">
        <v>171308</v>
      </c>
      <c r="F855" s="423">
        <v>1.2E-2</v>
      </c>
      <c r="G855" s="424">
        <v>2056</v>
      </c>
    </row>
    <row r="856" spans="1:7">
      <c r="A856" s="413"/>
      <c r="B856" s="416" t="s">
        <v>309</v>
      </c>
      <c r="C856" s="417" t="s">
        <v>312</v>
      </c>
      <c r="D856" s="418"/>
      <c r="E856" s="418"/>
      <c r="F856" s="418"/>
      <c r="G856" s="419"/>
    </row>
    <row r="857" spans="1:7">
      <c r="A857" s="420"/>
      <c r="B857" s="425" t="s">
        <v>440</v>
      </c>
      <c r="C857" s="426" t="s">
        <v>441</v>
      </c>
      <c r="D857" s="427" t="s">
        <v>13</v>
      </c>
      <c r="E857" s="428">
        <v>46535</v>
      </c>
      <c r="F857" s="427">
        <v>0.5</v>
      </c>
      <c r="G857" s="428">
        <v>23268</v>
      </c>
    </row>
  </sheetData>
  <mergeCells count="1">
    <mergeCell ref="B1:G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D140"/>
  <sheetViews>
    <sheetView zoomScaleNormal="100" workbookViewId="0">
      <selection activeCell="M30" sqref="M30"/>
    </sheetView>
  </sheetViews>
  <sheetFormatPr baseColWidth="10" defaultRowHeight="15"/>
  <cols>
    <col min="1" max="1" width="11.5703125" style="8" customWidth="1"/>
    <col min="2" max="2" width="51.5703125" style="6" bestFit="1" customWidth="1"/>
    <col min="3" max="3" width="4" style="9" customWidth="1"/>
    <col min="4" max="4" width="12.7109375" style="10" customWidth="1"/>
    <col min="5" max="5" width="18.140625" style="10" customWidth="1"/>
    <col min="6" max="6" width="13.85546875" style="11" customWidth="1"/>
    <col min="7" max="7" width="11.42578125" style="2"/>
    <col min="8" max="8" width="11.7109375" style="11" customWidth="1"/>
    <col min="9" max="9" width="14.5703125" style="11" customWidth="1"/>
    <col min="10" max="10" width="25.7109375" style="12" customWidth="1"/>
    <col min="11" max="11" width="0" style="6" hidden="1" customWidth="1"/>
    <col min="12" max="12" width="11.42578125" style="2"/>
    <col min="13" max="13" width="24.28515625" style="439" customWidth="1"/>
    <col min="14" max="14" width="20.5703125" style="2" customWidth="1"/>
    <col min="15" max="15" width="11.42578125" style="2"/>
    <col min="16" max="16" width="17.5703125" style="2" bestFit="1" customWidth="1"/>
    <col min="17" max="256" width="11.42578125" style="2"/>
    <col min="257" max="257" width="10.28515625" style="2" customWidth="1"/>
    <col min="258" max="258" width="42.5703125" style="2" customWidth="1"/>
    <col min="259" max="259" width="3" style="2" customWidth="1"/>
    <col min="260" max="260" width="12.7109375" style="2" customWidth="1"/>
    <col min="261" max="261" width="18.140625" style="2" customWidth="1"/>
    <col min="262" max="262" width="12.28515625" style="2" customWidth="1"/>
    <col min="263" max="263" width="11.42578125" style="2"/>
    <col min="264" max="264" width="11.7109375" style="2" customWidth="1"/>
    <col min="265" max="265" width="14.5703125" style="2" customWidth="1"/>
    <col min="266" max="266" width="25.7109375" style="2" customWidth="1"/>
    <col min="267" max="267" width="0" style="2" hidden="1" customWidth="1"/>
    <col min="268" max="512" width="11.42578125" style="2"/>
    <col min="513" max="513" width="10.28515625" style="2" customWidth="1"/>
    <col min="514" max="514" width="42.5703125" style="2" customWidth="1"/>
    <col min="515" max="515" width="3" style="2" customWidth="1"/>
    <col min="516" max="516" width="12.7109375" style="2" customWidth="1"/>
    <col min="517" max="517" width="18.140625" style="2" customWidth="1"/>
    <col min="518" max="518" width="12.28515625" style="2" customWidth="1"/>
    <col min="519" max="519" width="11.42578125" style="2"/>
    <col min="520" max="520" width="11.7109375" style="2" customWidth="1"/>
    <col min="521" max="521" width="14.5703125" style="2" customWidth="1"/>
    <col min="522" max="522" width="25.7109375" style="2" customWidth="1"/>
    <col min="523" max="523" width="0" style="2" hidden="1" customWidth="1"/>
    <col min="524" max="768" width="11.42578125" style="2"/>
    <col min="769" max="769" width="10.28515625" style="2" customWidth="1"/>
    <col min="770" max="770" width="42.5703125" style="2" customWidth="1"/>
    <col min="771" max="771" width="3" style="2" customWidth="1"/>
    <col min="772" max="772" width="12.7109375" style="2" customWidth="1"/>
    <col min="773" max="773" width="18.140625" style="2" customWidth="1"/>
    <col min="774" max="774" width="12.28515625" style="2" customWidth="1"/>
    <col min="775" max="775" width="11.42578125" style="2"/>
    <col min="776" max="776" width="11.7109375" style="2" customWidth="1"/>
    <col min="777" max="777" width="14.5703125" style="2" customWidth="1"/>
    <col min="778" max="778" width="25.7109375" style="2" customWidth="1"/>
    <col min="779" max="779" width="0" style="2" hidden="1" customWidth="1"/>
    <col min="780" max="1024" width="11.42578125" style="2"/>
    <col min="1025" max="1025" width="10.28515625" style="2" customWidth="1"/>
    <col min="1026" max="1026" width="42.5703125" style="2" customWidth="1"/>
    <col min="1027" max="1027" width="3" style="2" customWidth="1"/>
    <col min="1028" max="1028" width="12.7109375" style="2" customWidth="1"/>
    <col min="1029" max="1029" width="18.140625" style="2" customWidth="1"/>
    <col min="1030" max="1030" width="12.28515625" style="2" customWidth="1"/>
    <col min="1031" max="1031" width="11.42578125" style="2"/>
    <col min="1032" max="1032" width="11.7109375" style="2" customWidth="1"/>
    <col min="1033" max="1033" width="14.5703125" style="2" customWidth="1"/>
    <col min="1034" max="1034" width="25.7109375" style="2" customWidth="1"/>
    <col min="1035" max="1035" width="0" style="2" hidden="1" customWidth="1"/>
    <col min="1036" max="1280" width="11.42578125" style="2"/>
    <col min="1281" max="1281" width="10.28515625" style="2" customWidth="1"/>
    <col min="1282" max="1282" width="42.5703125" style="2" customWidth="1"/>
    <col min="1283" max="1283" width="3" style="2" customWidth="1"/>
    <col min="1284" max="1284" width="12.7109375" style="2" customWidth="1"/>
    <col min="1285" max="1285" width="18.140625" style="2" customWidth="1"/>
    <col min="1286" max="1286" width="12.28515625" style="2" customWidth="1"/>
    <col min="1287" max="1287" width="11.42578125" style="2"/>
    <col min="1288" max="1288" width="11.7109375" style="2" customWidth="1"/>
    <col min="1289" max="1289" width="14.5703125" style="2" customWidth="1"/>
    <col min="1290" max="1290" width="25.7109375" style="2" customWidth="1"/>
    <col min="1291" max="1291" width="0" style="2" hidden="1" customWidth="1"/>
    <col min="1292" max="1536" width="11.42578125" style="2"/>
    <col min="1537" max="1537" width="10.28515625" style="2" customWidth="1"/>
    <col min="1538" max="1538" width="42.5703125" style="2" customWidth="1"/>
    <col min="1539" max="1539" width="3" style="2" customWidth="1"/>
    <col min="1540" max="1540" width="12.7109375" style="2" customWidth="1"/>
    <col min="1541" max="1541" width="18.140625" style="2" customWidth="1"/>
    <col min="1542" max="1542" width="12.28515625" style="2" customWidth="1"/>
    <col min="1543" max="1543" width="11.42578125" style="2"/>
    <col min="1544" max="1544" width="11.7109375" style="2" customWidth="1"/>
    <col min="1545" max="1545" width="14.5703125" style="2" customWidth="1"/>
    <col min="1546" max="1546" width="25.7109375" style="2" customWidth="1"/>
    <col min="1547" max="1547" width="0" style="2" hidden="1" customWidth="1"/>
    <col min="1548" max="1792" width="11.42578125" style="2"/>
    <col min="1793" max="1793" width="10.28515625" style="2" customWidth="1"/>
    <col min="1794" max="1794" width="42.5703125" style="2" customWidth="1"/>
    <col min="1795" max="1795" width="3" style="2" customWidth="1"/>
    <col min="1796" max="1796" width="12.7109375" style="2" customWidth="1"/>
    <col min="1797" max="1797" width="18.140625" style="2" customWidth="1"/>
    <col min="1798" max="1798" width="12.28515625" style="2" customWidth="1"/>
    <col min="1799" max="1799" width="11.42578125" style="2"/>
    <col min="1800" max="1800" width="11.7109375" style="2" customWidth="1"/>
    <col min="1801" max="1801" width="14.5703125" style="2" customWidth="1"/>
    <col min="1802" max="1802" width="25.7109375" style="2" customWidth="1"/>
    <col min="1803" max="1803" width="0" style="2" hidden="1" customWidth="1"/>
    <col min="1804" max="2048" width="11.42578125" style="2"/>
    <col min="2049" max="2049" width="10.28515625" style="2" customWidth="1"/>
    <col min="2050" max="2050" width="42.5703125" style="2" customWidth="1"/>
    <col min="2051" max="2051" width="3" style="2" customWidth="1"/>
    <col min="2052" max="2052" width="12.7109375" style="2" customWidth="1"/>
    <col min="2053" max="2053" width="18.140625" style="2" customWidth="1"/>
    <col min="2054" max="2054" width="12.28515625" style="2" customWidth="1"/>
    <col min="2055" max="2055" width="11.42578125" style="2"/>
    <col min="2056" max="2056" width="11.7109375" style="2" customWidth="1"/>
    <col min="2057" max="2057" width="14.5703125" style="2" customWidth="1"/>
    <col min="2058" max="2058" width="25.7109375" style="2" customWidth="1"/>
    <col min="2059" max="2059" width="0" style="2" hidden="1" customWidth="1"/>
    <col min="2060" max="2304" width="11.42578125" style="2"/>
    <col min="2305" max="2305" width="10.28515625" style="2" customWidth="1"/>
    <col min="2306" max="2306" width="42.5703125" style="2" customWidth="1"/>
    <col min="2307" max="2307" width="3" style="2" customWidth="1"/>
    <col min="2308" max="2308" width="12.7109375" style="2" customWidth="1"/>
    <col min="2309" max="2309" width="18.140625" style="2" customWidth="1"/>
    <col min="2310" max="2310" width="12.28515625" style="2" customWidth="1"/>
    <col min="2311" max="2311" width="11.42578125" style="2"/>
    <col min="2312" max="2312" width="11.7109375" style="2" customWidth="1"/>
    <col min="2313" max="2313" width="14.5703125" style="2" customWidth="1"/>
    <col min="2314" max="2314" width="25.7109375" style="2" customWidth="1"/>
    <col min="2315" max="2315" width="0" style="2" hidden="1" customWidth="1"/>
    <col min="2316" max="2560" width="11.42578125" style="2"/>
    <col min="2561" max="2561" width="10.28515625" style="2" customWidth="1"/>
    <col min="2562" max="2562" width="42.5703125" style="2" customWidth="1"/>
    <col min="2563" max="2563" width="3" style="2" customWidth="1"/>
    <col min="2564" max="2564" width="12.7109375" style="2" customWidth="1"/>
    <col min="2565" max="2565" width="18.140625" style="2" customWidth="1"/>
    <col min="2566" max="2566" width="12.28515625" style="2" customWidth="1"/>
    <col min="2567" max="2567" width="11.42578125" style="2"/>
    <col min="2568" max="2568" width="11.7109375" style="2" customWidth="1"/>
    <col min="2569" max="2569" width="14.5703125" style="2" customWidth="1"/>
    <col min="2570" max="2570" width="25.7109375" style="2" customWidth="1"/>
    <col min="2571" max="2571" width="0" style="2" hidden="1" customWidth="1"/>
    <col min="2572" max="2816" width="11.42578125" style="2"/>
    <col min="2817" max="2817" width="10.28515625" style="2" customWidth="1"/>
    <col min="2818" max="2818" width="42.5703125" style="2" customWidth="1"/>
    <col min="2819" max="2819" width="3" style="2" customWidth="1"/>
    <col min="2820" max="2820" width="12.7109375" style="2" customWidth="1"/>
    <col min="2821" max="2821" width="18.140625" style="2" customWidth="1"/>
    <col min="2822" max="2822" width="12.28515625" style="2" customWidth="1"/>
    <col min="2823" max="2823" width="11.42578125" style="2"/>
    <col min="2824" max="2824" width="11.7109375" style="2" customWidth="1"/>
    <col min="2825" max="2825" width="14.5703125" style="2" customWidth="1"/>
    <col min="2826" max="2826" width="25.7109375" style="2" customWidth="1"/>
    <col min="2827" max="2827" width="0" style="2" hidden="1" customWidth="1"/>
    <col min="2828" max="3072" width="11.42578125" style="2"/>
    <col min="3073" max="3073" width="10.28515625" style="2" customWidth="1"/>
    <col min="3074" max="3074" width="42.5703125" style="2" customWidth="1"/>
    <col min="3075" max="3075" width="3" style="2" customWidth="1"/>
    <col min="3076" max="3076" width="12.7109375" style="2" customWidth="1"/>
    <col min="3077" max="3077" width="18.140625" style="2" customWidth="1"/>
    <col min="3078" max="3078" width="12.28515625" style="2" customWidth="1"/>
    <col min="3079" max="3079" width="11.42578125" style="2"/>
    <col min="3080" max="3080" width="11.7109375" style="2" customWidth="1"/>
    <col min="3081" max="3081" width="14.5703125" style="2" customWidth="1"/>
    <col min="3082" max="3082" width="25.7109375" style="2" customWidth="1"/>
    <col min="3083" max="3083" width="0" style="2" hidden="1" customWidth="1"/>
    <col min="3084" max="3328" width="11.42578125" style="2"/>
    <col min="3329" max="3329" width="10.28515625" style="2" customWidth="1"/>
    <col min="3330" max="3330" width="42.5703125" style="2" customWidth="1"/>
    <col min="3331" max="3331" width="3" style="2" customWidth="1"/>
    <col min="3332" max="3332" width="12.7109375" style="2" customWidth="1"/>
    <col min="3333" max="3333" width="18.140625" style="2" customWidth="1"/>
    <col min="3334" max="3334" width="12.28515625" style="2" customWidth="1"/>
    <col min="3335" max="3335" width="11.42578125" style="2"/>
    <col min="3336" max="3336" width="11.7109375" style="2" customWidth="1"/>
    <col min="3337" max="3337" width="14.5703125" style="2" customWidth="1"/>
    <col min="3338" max="3338" width="25.7109375" style="2" customWidth="1"/>
    <col min="3339" max="3339" width="0" style="2" hidden="1" customWidth="1"/>
    <col min="3340" max="3584" width="11.42578125" style="2"/>
    <col min="3585" max="3585" width="10.28515625" style="2" customWidth="1"/>
    <col min="3586" max="3586" width="42.5703125" style="2" customWidth="1"/>
    <col min="3587" max="3587" width="3" style="2" customWidth="1"/>
    <col min="3588" max="3588" width="12.7109375" style="2" customWidth="1"/>
    <col min="3589" max="3589" width="18.140625" style="2" customWidth="1"/>
    <col min="3590" max="3590" width="12.28515625" style="2" customWidth="1"/>
    <col min="3591" max="3591" width="11.42578125" style="2"/>
    <col min="3592" max="3592" width="11.7109375" style="2" customWidth="1"/>
    <col min="3593" max="3593" width="14.5703125" style="2" customWidth="1"/>
    <col min="3594" max="3594" width="25.7109375" style="2" customWidth="1"/>
    <col min="3595" max="3595" width="0" style="2" hidden="1" customWidth="1"/>
    <col min="3596" max="3840" width="11.42578125" style="2"/>
    <col min="3841" max="3841" width="10.28515625" style="2" customWidth="1"/>
    <col min="3842" max="3842" width="42.5703125" style="2" customWidth="1"/>
    <col min="3843" max="3843" width="3" style="2" customWidth="1"/>
    <col min="3844" max="3844" width="12.7109375" style="2" customWidth="1"/>
    <col min="3845" max="3845" width="18.140625" style="2" customWidth="1"/>
    <col min="3846" max="3846" width="12.28515625" style="2" customWidth="1"/>
    <col min="3847" max="3847" width="11.42578125" style="2"/>
    <col min="3848" max="3848" width="11.7109375" style="2" customWidth="1"/>
    <col min="3849" max="3849" width="14.5703125" style="2" customWidth="1"/>
    <col min="3850" max="3850" width="25.7109375" style="2" customWidth="1"/>
    <col min="3851" max="3851" width="0" style="2" hidden="1" customWidth="1"/>
    <col min="3852" max="4096" width="11.42578125" style="2"/>
    <col min="4097" max="4097" width="10.28515625" style="2" customWidth="1"/>
    <col min="4098" max="4098" width="42.5703125" style="2" customWidth="1"/>
    <col min="4099" max="4099" width="3" style="2" customWidth="1"/>
    <col min="4100" max="4100" width="12.7109375" style="2" customWidth="1"/>
    <col min="4101" max="4101" width="18.140625" style="2" customWidth="1"/>
    <col min="4102" max="4102" width="12.28515625" style="2" customWidth="1"/>
    <col min="4103" max="4103" width="11.42578125" style="2"/>
    <col min="4104" max="4104" width="11.7109375" style="2" customWidth="1"/>
    <col min="4105" max="4105" width="14.5703125" style="2" customWidth="1"/>
    <col min="4106" max="4106" width="25.7109375" style="2" customWidth="1"/>
    <col min="4107" max="4107" width="0" style="2" hidden="1" customWidth="1"/>
    <col min="4108" max="4352" width="11.42578125" style="2"/>
    <col min="4353" max="4353" width="10.28515625" style="2" customWidth="1"/>
    <col min="4354" max="4354" width="42.5703125" style="2" customWidth="1"/>
    <col min="4355" max="4355" width="3" style="2" customWidth="1"/>
    <col min="4356" max="4356" width="12.7109375" style="2" customWidth="1"/>
    <col min="4357" max="4357" width="18.140625" style="2" customWidth="1"/>
    <col min="4358" max="4358" width="12.28515625" style="2" customWidth="1"/>
    <col min="4359" max="4359" width="11.42578125" style="2"/>
    <col min="4360" max="4360" width="11.7109375" style="2" customWidth="1"/>
    <col min="4361" max="4361" width="14.5703125" style="2" customWidth="1"/>
    <col min="4362" max="4362" width="25.7109375" style="2" customWidth="1"/>
    <col min="4363" max="4363" width="0" style="2" hidden="1" customWidth="1"/>
    <col min="4364" max="4608" width="11.42578125" style="2"/>
    <col min="4609" max="4609" width="10.28515625" style="2" customWidth="1"/>
    <col min="4610" max="4610" width="42.5703125" style="2" customWidth="1"/>
    <col min="4611" max="4611" width="3" style="2" customWidth="1"/>
    <col min="4612" max="4612" width="12.7109375" style="2" customWidth="1"/>
    <col min="4613" max="4613" width="18.140625" style="2" customWidth="1"/>
    <col min="4614" max="4614" width="12.28515625" style="2" customWidth="1"/>
    <col min="4615" max="4615" width="11.42578125" style="2"/>
    <col min="4616" max="4616" width="11.7109375" style="2" customWidth="1"/>
    <col min="4617" max="4617" width="14.5703125" style="2" customWidth="1"/>
    <col min="4618" max="4618" width="25.7109375" style="2" customWidth="1"/>
    <col min="4619" max="4619" width="0" style="2" hidden="1" customWidth="1"/>
    <col min="4620" max="4864" width="11.42578125" style="2"/>
    <col min="4865" max="4865" width="10.28515625" style="2" customWidth="1"/>
    <col min="4866" max="4866" width="42.5703125" style="2" customWidth="1"/>
    <col min="4867" max="4867" width="3" style="2" customWidth="1"/>
    <col min="4868" max="4868" width="12.7109375" style="2" customWidth="1"/>
    <col min="4869" max="4869" width="18.140625" style="2" customWidth="1"/>
    <col min="4870" max="4870" width="12.28515625" style="2" customWidth="1"/>
    <col min="4871" max="4871" width="11.42578125" style="2"/>
    <col min="4872" max="4872" width="11.7109375" style="2" customWidth="1"/>
    <col min="4873" max="4873" width="14.5703125" style="2" customWidth="1"/>
    <col min="4874" max="4874" width="25.7109375" style="2" customWidth="1"/>
    <col min="4875" max="4875" width="0" style="2" hidden="1" customWidth="1"/>
    <col min="4876" max="5120" width="11.42578125" style="2"/>
    <col min="5121" max="5121" width="10.28515625" style="2" customWidth="1"/>
    <col min="5122" max="5122" width="42.5703125" style="2" customWidth="1"/>
    <col min="5123" max="5123" width="3" style="2" customWidth="1"/>
    <col min="5124" max="5124" width="12.7109375" style="2" customWidth="1"/>
    <col min="5125" max="5125" width="18.140625" style="2" customWidth="1"/>
    <col min="5126" max="5126" width="12.28515625" style="2" customWidth="1"/>
    <col min="5127" max="5127" width="11.42578125" style="2"/>
    <col min="5128" max="5128" width="11.7109375" style="2" customWidth="1"/>
    <col min="5129" max="5129" width="14.5703125" style="2" customWidth="1"/>
    <col min="5130" max="5130" width="25.7109375" style="2" customWidth="1"/>
    <col min="5131" max="5131" width="0" style="2" hidden="1" customWidth="1"/>
    <col min="5132" max="5376" width="11.42578125" style="2"/>
    <col min="5377" max="5377" width="10.28515625" style="2" customWidth="1"/>
    <col min="5378" max="5378" width="42.5703125" style="2" customWidth="1"/>
    <col min="5379" max="5379" width="3" style="2" customWidth="1"/>
    <col min="5380" max="5380" width="12.7109375" style="2" customWidth="1"/>
    <col min="5381" max="5381" width="18.140625" style="2" customWidth="1"/>
    <col min="5382" max="5382" width="12.28515625" style="2" customWidth="1"/>
    <col min="5383" max="5383" width="11.42578125" style="2"/>
    <col min="5384" max="5384" width="11.7109375" style="2" customWidth="1"/>
    <col min="5385" max="5385" width="14.5703125" style="2" customWidth="1"/>
    <col min="5386" max="5386" width="25.7109375" style="2" customWidth="1"/>
    <col min="5387" max="5387" width="0" style="2" hidden="1" customWidth="1"/>
    <col min="5388" max="5632" width="11.42578125" style="2"/>
    <col min="5633" max="5633" width="10.28515625" style="2" customWidth="1"/>
    <col min="5634" max="5634" width="42.5703125" style="2" customWidth="1"/>
    <col min="5635" max="5635" width="3" style="2" customWidth="1"/>
    <col min="5636" max="5636" width="12.7109375" style="2" customWidth="1"/>
    <col min="5637" max="5637" width="18.140625" style="2" customWidth="1"/>
    <col min="5638" max="5638" width="12.28515625" style="2" customWidth="1"/>
    <col min="5639" max="5639" width="11.42578125" style="2"/>
    <col min="5640" max="5640" width="11.7109375" style="2" customWidth="1"/>
    <col min="5641" max="5641" width="14.5703125" style="2" customWidth="1"/>
    <col min="5642" max="5642" width="25.7109375" style="2" customWidth="1"/>
    <col min="5643" max="5643" width="0" style="2" hidden="1" customWidth="1"/>
    <col min="5644" max="5888" width="11.42578125" style="2"/>
    <col min="5889" max="5889" width="10.28515625" style="2" customWidth="1"/>
    <col min="5890" max="5890" width="42.5703125" style="2" customWidth="1"/>
    <col min="5891" max="5891" width="3" style="2" customWidth="1"/>
    <col min="5892" max="5892" width="12.7109375" style="2" customWidth="1"/>
    <col min="5893" max="5893" width="18.140625" style="2" customWidth="1"/>
    <col min="5894" max="5894" width="12.28515625" style="2" customWidth="1"/>
    <col min="5895" max="5895" width="11.42578125" style="2"/>
    <col min="5896" max="5896" width="11.7109375" style="2" customWidth="1"/>
    <col min="5897" max="5897" width="14.5703125" style="2" customWidth="1"/>
    <col min="5898" max="5898" width="25.7109375" style="2" customWidth="1"/>
    <col min="5899" max="5899" width="0" style="2" hidden="1" customWidth="1"/>
    <col min="5900" max="6144" width="11.42578125" style="2"/>
    <col min="6145" max="6145" width="10.28515625" style="2" customWidth="1"/>
    <col min="6146" max="6146" width="42.5703125" style="2" customWidth="1"/>
    <col min="6147" max="6147" width="3" style="2" customWidth="1"/>
    <col min="6148" max="6148" width="12.7109375" style="2" customWidth="1"/>
    <col min="6149" max="6149" width="18.140625" style="2" customWidth="1"/>
    <col min="6150" max="6150" width="12.28515625" style="2" customWidth="1"/>
    <col min="6151" max="6151" width="11.42578125" style="2"/>
    <col min="6152" max="6152" width="11.7109375" style="2" customWidth="1"/>
    <col min="6153" max="6153" width="14.5703125" style="2" customWidth="1"/>
    <col min="6154" max="6154" width="25.7109375" style="2" customWidth="1"/>
    <col min="6155" max="6155" width="0" style="2" hidden="1" customWidth="1"/>
    <col min="6156" max="6400" width="11.42578125" style="2"/>
    <col min="6401" max="6401" width="10.28515625" style="2" customWidth="1"/>
    <col min="6402" max="6402" width="42.5703125" style="2" customWidth="1"/>
    <col min="6403" max="6403" width="3" style="2" customWidth="1"/>
    <col min="6404" max="6404" width="12.7109375" style="2" customWidth="1"/>
    <col min="6405" max="6405" width="18.140625" style="2" customWidth="1"/>
    <col min="6406" max="6406" width="12.28515625" style="2" customWidth="1"/>
    <col min="6407" max="6407" width="11.42578125" style="2"/>
    <col min="6408" max="6408" width="11.7109375" style="2" customWidth="1"/>
    <col min="6409" max="6409" width="14.5703125" style="2" customWidth="1"/>
    <col min="6410" max="6410" width="25.7109375" style="2" customWidth="1"/>
    <col min="6411" max="6411" width="0" style="2" hidden="1" customWidth="1"/>
    <col min="6412" max="6656" width="11.42578125" style="2"/>
    <col min="6657" max="6657" width="10.28515625" style="2" customWidth="1"/>
    <col min="6658" max="6658" width="42.5703125" style="2" customWidth="1"/>
    <col min="6659" max="6659" width="3" style="2" customWidth="1"/>
    <col min="6660" max="6660" width="12.7109375" style="2" customWidth="1"/>
    <col min="6661" max="6661" width="18.140625" style="2" customWidth="1"/>
    <col min="6662" max="6662" width="12.28515625" style="2" customWidth="1"/>
    <col min="6663" max="6663" width="11.42578125" style="2"/>
    <col min="6664" max="6664" width="11.7109375" style="2" customWidth="1"/>
    <col min="6665" max="6665" width="14.5703125" style="2" customWidth="1"/>
    <col min="6666" max="6666" width="25.7109375" style="2" customWidth="1"/>
    <col min="6667" max="6667" width="0" style="2" hidden="1" customWidth="1"/>
    <col min="6668" max="6912" width="11.42578125" style="2"/>
    <col min="6913" max="6913" width="10.28515625" style="2" customWidth="1"/>
    <col min="6914" max="6914" width="42.5703125" style="2" customWidth="1"/>
    <col min="6915" max="6915" width="3" style="2" customWidth="1"/>
    <col min="6916" max="6916" width="12.7109375" style="2" customWidth="1"/>
    <col min="6917" max="6917" width="18.140625" style="2" customWidth="1"/>
    <col min="6918" max="6918" width="12.28515625" style="2" customWidth="1"/>
    <col min="6919" max="6919" width="11.42578125" style="2"/>
    <col min="6920" max="6920" width="11.7109375" style="2" customWidth="1"/>
    <col min="6921" max="6921" width="14.5703125" style="2" customWidth="1"/>
    <col min="6922" max="6922" width="25.7109375" style="2" customWidth="1"/>
    <col min="6923" max="6923" width="0" style="2" hidden="1" customWidth="1"/>
    <col min="6924" max="7168" width="11.42578125" style="2"/>
    <col min="7169" max="7169" width="10.28515625" style="2" customWidth="1"/>
    <col min="7170" max="7170" width="42.5703125" style="2" customWidth="1"/>
    <col min="7171" max="7171" width="3" style="2" customWidth="1"/>
    <col min="7172" max="7172" width="12.7109375" style="2" customWidth="1"/>
    <col min="7173" max="7173" width="18.140625" style="2" customWidth="1"/>
    <col min="7174" max="7174" width="12.28515625" style="2" customWidth="1"/>
    <col min="7175" max="7175" width="11.42578125" style="2"/>
    <col min="7176" max="7176" width="11.7109375" style="2" customWidth="1"/>
    <col min="7177" max="7177" width="14.5703125" style="2" customWidth="1"/>
    <col min="7178" max="7178" width="25.7109375" style="2" customWidth="1"/>
    <col min="7179" max="7179" width="0" style="2" hidden="1" customWidth="1"/>
    <col min="7180" max="7424" width="11.42578125" style="2"/>
    <col min="7425" max="7425" width="10.28515625" style="2" customWidth="1"/>
    <col min="7426" max="7426" width="42.5703125" style="2" customWidth="1"/>
    <col min="7427" max="7427" width="3" style="2" customWidth="1"/>
    <col min="7428" max="7428" width="12.7109375" style="2" customWidth="1"/>
    <col min="7429" max="7429" width="18.140625" style="2" customWidth="1"/>
    <col min="7430" max="7430" width="12.28515625" style="2" customWidth="1"/>
    <col min="7431" max="7431" width="11.42578125" style="2"/>
    <col min="7432" max="7432" width="11.7109375" style="2" customWidth="1"/>
    <col min="7433" max="7433" width="14.5703125" style="2" customWidth="1"/>
    <col min="7434" max="7434" width="25.7109375" style="2" customWidth="1"/>
    <col min="7435" max="7435" width="0" style="2" hidden="1" customWidth="1"/>
    <col min="7436" max="7680" width="11.42578125" style="2"/>
    <col min="7681" max="7681" width="10.28515625" style="2" customWidth="1"/>
    <col min="7682" max="7682" width="42.5703125" style="2" customWidth="1"/>
    <col min="7683" max="7683" width="3" style="2" customWidth="1"/>
    <col min="7684" max="7684" width="12.7109375" style="2" customWidth="1"/>
    <col min="7685" max="7685" width="18.140625" style="2" customWidth="1"/>
    <col min="7686" max="7686" width="12.28515625" style="2" customWidth="1"/>
    <col min="7687" max="7687" width="11.42578125" style="2"/>
    <col min="7688" max="7688" width="11.7109375" style="2" customWidth="1"/>
    <col min="7689" max="7689" width="14.5703125" style="2" customWidth="1"/>
    <col min="7690" max="7690" width="25.7109375" style="2" customWidth="1"/>
    <col min="7691" max="7691" width="0" style="2" hidden="1" customWidth="1"/>
    <col min="7692" max="7936" width="11.42578125" style="2"/>
    <col min="7937" max="7937" width="10.28515625" style="2" customWidth="1"/>
    <col min="7938" max="7938" width="42.5703125" style="2" customWidth="1"/>
    <col min="7939" max="7939" width="3" style="2" customWidth="1"/>
    <col min="7940" max="7940" width="12.7109375" style="2" customWidth="1"/>
    <col min="7941" max="7941" width="18.140625" style="2" customWidth="1"/>
    <col min="7942" max="7942" width="12.28515625" style="2" customWidth="1"/>
    <col min="7943" max="7943" width="11.42578125" style="2"/>
    <col min="7944" max="7944" width="11.7109375" style="2" customWidth="1"/>
    <col min="7945" max="7945" width="14.5703125" style="2" customWidth="1"/>
    <col min="7946" max="7946" width="25.7109375" style="2" customWidth="1"/>
    <col min="7947" max="7947" width="0" style="2" hidden="1" customWidth="1"/>
    <col min="7948" max="8192" width="11.42578125" style="2"/>
    <col min="8193" max="8193" width="10.28515625" style="2" customWidth="1"/>
    <col min="8194" max="8194" width="42.5703125" style="2" customWidth="1"/>
    <col min="8195" max="8195" width="3" style="2" customWidth="1"/>
    <col min="8196" max="8196" width="12.7109375" style="2" customWidth="1"/>
    <col min="8197" max="8197" width="18.140625" style="2" customWidth="1"/>
    <col min="8198" max="8198" width="12.28515625" style="2" customWidth="1"/>
    <col min="8199" max="8199" width="11.42578125" style="2"/>
    <col min="8200" max="8200" width="11.7109375" style="2" customWidth="1"/>
    <col min="8201" max="8201" width="14.5703125" style="2" customWidth="1"/>
    <col min="8202" max="8202" width="25.7109375" style="2" customWidth="1"/>
    <col min="8203" max="8203" width="0" style="2" hidden="1" customWidth="1"/>
    <col min="8204" max="8448" width="11.42578125" style="2"/>
    <col min="8449" max="8449" width="10.28515625" style="2" customWidth="1"/>
    <col min="8450" max="8450" width="42.5703125" style="2" customWidth="1"/>
    <col min="8451" max="8451" width="3" style="2" customWidth="1"/>
    <col min="8452" max="8452" width="12.7109375" style="2" customWidth="1"/>
    <col min="8453" max="8453" width="18.140625" style="2" customWidth="1"/>
    <col min="8454" max="8454" width="12.28515625" style="2" customWidth="1"/>
    <col min="8455" max="8455" width="11.42578125" style="2"/>
    <col min="8456" max="8456" width="11.7109375" style="2" customWidth="1"/>
    <col min="8457" max="8457" width="14.5703125" style="2" customWidth="1"/>
    <col min="8458" max="8458" width="25.7109375" style="2" customWidth="1"/>
    <col min="8459" max="8459" width="0" style="2" hidden="1" customWidth="1"/>
    <col min="8460" max="8704" width="11.42578125" style="2"/>
    <col min="8705" max="8705" width="10.28515625" style="2" customWidth="1"/>
    <col min="8706" max="8706" width="42.5703125" style="2" customWidth="1"/>
    <col min="8707" max="8707" width="3" style="2" customWidth="1"/>
    <col min="8708" max="8708" width="12.7109375" style="2" customWidth="1"/>
    <col min="8709" max="8709" width="18.140625" style="2" customWidth="1"/>
    <col min="8710" max="8710" width="12.28515625" style="2" customWidth="1"/>
    <col min="8711" max="8711" width="11.42578125" style="2"/>
    <col min="8712" max="8712" width="11.7109375" style="2" customWidth="1"/>
    <col min="8713" max="8713" width="14.5703125" style="2" customWidth="1"/>
    <col min="8714" max="8714" width="25.7109375" style="2" customWidth="1"/>
    <col min="8715" max="8715" width="0" style="2" hidden="1" customWidth="1"/>
    <col min="8716" max="8960" width="11.42578125" style="2"/>
    <col min="8961" max="8961" width="10.28515625" style="2" customWidth="1"/>
    <col min="8962" max="8962" width="42.5703125" style="2" customWidth="1"/>
    <col min="8963" max="8963" width="3" style="2" customWidth="1"/>
    <col min="8964" max="8964" width="12.7109375" style="2" customWidth="1"/>
    <col min="8965" max="8965" width="18.140625" style="2" customWidth="1"/>
    <col min="8966" max="8966" width="12.28515625" style="2" customWidth="1"/>
    <col min="8967" max="8967" width="11.42578125" style="2"/>
    <col min="8968" max="8968" width="11.7109375" style="2" customWidth="1"/>
    <col min="8969" max="8969" width="14.5703125" style="2" customWidth="1"/>
    <col min="8970" max="8970" width="25.7109375" style="2" customWidth="1"/>
    <col min="8971" max="8971" width="0" style="2" hidden="1" customWidth="1"/>
    <col min="8972" max="9216" width="11.42578125" style="2"/>
    <col min="9217" max="9217" width="10.28515625" style="2" customWidth="1"/>
    <col min="9218" max="9218" width="42.5703125" style="2" customWidth="1"/>
    <col min="9219" max="9219" width="3" style="2" customWidth="1"/>
    <col min="9220" max="9220" width="12.7109375" style="2" customWidth="1"/>
    <col min="9221" max="9221" width="18.140625" style="2" customWidth="1"/>
    <col min="9222" max="9222" width="12.28515625" style="2" customWidth="1"/>
    <col min="9223" max="9223" width="11.42578125" style="2"/>
    <col min="9224" max="9224" width="11.7109375" style="2" customWidth="1"/>
    <col min="9225" max="9225" width="14.5703125" style="2" customWidth="1"/>
    <col min="9226" max="9226" width="25.7109375" style="2" customWidth="1"/>
    <col min="9227" max="9227" width="0" style="2" hidden="1" customWidth="1"/>
    <col min="9228" max="9472" width="11.42578125" style="2"/>
    <col min="9473" max="9473" width="10.28515625" style="2" customWidth="1"/>
    <col min="9474" max="9474" width="42.5703125" style="2" customWidth="1"/>
    <col min="9475" max="9475" width="3" style="2" customWidth="1"/>
    <col min="9476" max="9476" width="12.7109375" style="2" customWidth="1"/>
    <col min="9477" max="9477" width="18.140625" style="2" customWidth="1"/>
    <col min="9478" max="9478" width="12.28515625" style="2" customWidth="1"/>
    <col min="9479" max="9479" width="11.42578125" style="2"/>
    <col min="9480" max="9480" width="11.7109375" style="2" customWidth="1"/>
    <col min="9481" max="9481" width="14.5703125" style="2" customWidth="1"/>
    <col min="9482" max="9482" width="25.7109375" style="2" customWidth="1"/>
    <col min="9483" max="9483" width="0" style="2" hidden="1" customWidth="1"/>
    <col min="9484" max="9728" width="11.42578125" style="2"/>
    <col min="9729" max="9729" width="10.28515625" style="2" customWidth="1"/>
    <col min="9730" max="9730" width="42.5703125" style="2" customWidth="1"/>
    <col min="9731" max="9731" width="3" style="2" customWidth="1"/>
    <col min="9732" max="9732" width="12.7109375" style="2" customWidth="1"/>
    <col min="9733" max="9733" width="18.140625" style="2" customWidth="1"/>
    <col min="9734" max="9734" width="12.28515625" style="2" customWidth="1"/>
    <col min="9735" max="9735" width="11.42578125" style="2"/>
    <col min="9736" max="9736" width="11.7109375" style="2" customWidth="1"/>
    <col min="9737" max="9737" width="14.5703125" style="2" customWidth="1"/>
    <col min="9738" max="9738" width="25.7109375" style="2" customWidth="1"/>
    <col min="9739" max="9739" width="0" style="2" hidden="1" customWidth="1"/>
    <col min="9740" max="9984" width="11.42578125" style="2"/>
    <col min="9985" max="9985" width="10.28515625" style="2" customWidth="1"/>
    <col min="9986" max="9986" width="42.5703125" style="2" customWidth="1"/>
    <col min="9987" max="9987" width="3" style="2" customWidth="1"/>
    <col min="9988" max="9988" width="12.7109375" style="2" customWidth="1"/>
    <col min="9989" max="9989" width="18.140625" style="2" customWidth="1"/>
    <col min="9990" max="9990" width="12.28515625" style="2" customWidth="1"/>
    <col min="9991" max="9991" width="11.42578125" style="2"/>
    <col min="9992" max="9992" width="11.7109375" style="2" customWidth="1"/>
    <col min="9993" max="9993" width="14.5703125" style="2" customWidth="1"/>
    <col min="9994" max="9994" width="25.7109375" style="2" customWidth="1"/>
    <col min="9995" max="9995" width="0" style="2" hidden="1" customWidth="1"/>
    <col min="9996" max="10240" width="11.42578125" style="2"/>
    <col min="10241" max="10241" width="10.28515625" style="2" customWidth="1"/>
    <col min="10242" max="10242" width="42.5703125" style="2" customWidth="1"/>
    <col min="10243" max="10243" width="3" style="2" customWidth="1"/>
    <col min="10244" max="10244" width="12.7109375" style="2" customWidth="1"/>
    <col min="10245" max="10245" width="18.140625" style="2" customWidth="1"/>
    <col min="10246" max="10246" width="12.28515625" style="2" customWidth="1"/>
    <col min="10247" max="10247" width="11.42578125" style="2"/>
    <col min="10248" max="10248" width="11.7109375" style="2" customWidth="1"/>
    <col min="10249" max="10249" width="14.5703125" style="2" customWidth="1"/>
    <col min="10250" max="10250" width="25.7109375" style="2" customWidth="1"/>
    <col min="10251" max="10251" width="0" style="2" hidden="1" customWidth="1"/>
    <col min="10252" max="10496" width="11.42578125" style="2"/>
    <col min="10497" max="10497" width="10.28515625" style="2" customWidth="1"/>
    <col min="10498" max="10498" width="42.5703125" style="2" customWidth="1"/>
    <col min="10499" max="10499" width="3" style="2" customWidth="1"/>
    <col min="10500" max="10500" width="12.7109375" style="2" customWidth="1"/>
    <col min="10501" max="10501" width="18.140625" style="2" customWidth="1"/>
    <col min="10502" max="10502" width="12.28515625" style="2" customWidth="1"/>
    <col min="10503" max="10503" width="11.42578125" style="2"/>
    <col min="10504" max="10504" width="11.7109375" style="2" customWidth="1"/>
    <col min="10505" max="10505" width="14.5703125" style="2" customWidth="1"/>
    <col min="10506" max="10506" width="25.7109375" style="2" customWidth="1"/>
    <col min="10507" max="10507" width="0" style="2" hidden="1" customWidth="1"/>
    <col min="10508" max="10752" width="11.42578125" style="2"/>
    <col min="10753" max="10753" width="10.28515625" style="2" customWidth="1"/>
    <col min="10754" max="10754" width="42.5703125" style="2" customWidth="1"/>
    <col min="10755" max="10755" width="3" style="2" customWidth="1"/>
    <col min="10756" max="10756" width="12.7109375" style="2" customWidth="1"/>
    <col min="10757" max="10757" width="18.140625" style="2" customWidth="1"/>
    <col min="10758" max="10758" width="12.28515625" style="2" customWidth="1"/>
    <col min="10759" max="10759" width="11.42578125" style="2"/>
    <col min="10760" max="10760" width="11.7109375" style="2" customWidth="1"/>
    <col min="10761" max="10761" width="14.5703125" style="2" customWidth="1"/>
    <col min="10762" max="10762" width="25.7109375" style="2" customWidth="1"/>
    <col min="10763" max="10763" width="0" style="2" hidden="1" customWidth="1"/>
    <col min="10764" max="11008" width="11.42578125" style="2"/>
    <col min="11009" max="11009" width="10.28515625" style="2" customWidth="1"/>
    <col min="11010" max="11010" width="42.5703125" style="2" customWidth="1"/>
    <col min="11011" max="11011" width="3" style="2" customWidth="1"/>
    <col min="11012" max="11012" width="12.7109375" style="2" customWidth="1"/>
    <col min="11013" max="11013" width="18.140625" style="2" customWidth="1"/>
    <col min="11014" max="11014" width="12.28515625" style="2" customWidth="1"/>
    <col min="11015" max="11015" width="11.42578125" style="2"/>
    <col min="11016" max="11016" width="11.7109375" style="2" customWidth="1"/>
    <col min="11017" max="11017" width="14.5703125" style="2" customWidth="1"/>
    <col min="11018" max="11018" width="25.7109375" style="2" customWidth="1"/>
    <col min="11019" max="11019" width="0" style="2" hidden="1" customWidth="1"/>
    <col min="11020" max="11264" width="11.42578125" style="2"/>
    <col min="11265" max="11265" width="10.28515625" style="2" customWidth="1"/>
    <col min="11266" max="11266" width="42.5703125" style="2" customWidth="1"/>
    <col min="11267" max="11267" width="3" style="2" customWidth="1"/>
    <col min="11268" max="11268" width="12.7109375" style="2" customWidth="1"/>
    <col min="11269" max="11269" width="18.140625" style="2" customWidth="1"/>
    <col min="11270" max="11270" width="12.28515625" style="2" customWidth="1"/>
    <col min="11271" max="11271" width="11.42578125" style="2"/>
    <col min="11272" max="11272" width="11.7109375" style="2" customWidth="1"/>
    <col min="11273" max="11273" width="14.5703125" style="2" customWidth="1"/>
    <col min="11274" max="11274" width="25.7109375" style="2" customWidth="1"/>
    <col min="11275" max="11275" width="0" style="2" hidden="1" customWidth="1"/>
    <col min="11276" max="11520" width="11.42578125" style="2"/>
    <col min="11521" max="11521" width="10.28515625" style="2" customWidth="1"/>
    <col min="11522" max="11522" width="42.5703125" style="2" customWidth="1"/>
    <col min="11523" max="11523" width="3" style="2" customWidth="1"/>
    <col min="11524" max="11524" width="12.7109375" style="2" customWidth="1"/>
    <col min="11525" max="11525" width="18.140625" style="2" customWidth="1"/>
    <col min="11526" max="11526" width="12.28515625" style="2" customWidth="1"/>
    <col min="11527" max="11527" width="11.42578125" style="2"/>
    <col min="11528" max="11528" width="11.7109375" style="2" customWidth="1"/>
    <col min="11529" max="11529" width="14.5703125" style="2" customWidth="1"/>
    <col min="11530" max="11530" width="25.7109375" style="2" customWidth="1"/>
    <col min="11531" max="11531" width="0" style="2" hidden="1" customWidth="1"/>
    <col min="11532" max="11776" width="11.42578125" style="2"/>
    <col min="11777" max="11777" width="10.28515625" style="2" customWidth="1"/>
    <col min="11778" max="11778" width="42.5703125" style="2" customWidth="1"/>
    <col min="11779" max="11779" width="3" style="2" customWidth="1"/>
    <col min="11780" max="11780" width="12.7109375" style="2" customWidth="1"/>
    <col min="11781" max="11781" width="18.140625" style="2" customWidth="1"/>
    <col min="11782" max="11782" width="12.28515625" style="2" customWidth="1"/>
    <col min="11783" max="11783" width="11.42578125" style="2"/>
    <col min="11784" max="11784" width="11.7109375" style="2" customWidth="1"/>
    <col min="11785" max="11785" width="14.5703125" style="2" customWidth="1"/>
    <col min="11786" max="11786" width="25.7109375" style="2" customWidth="1"/>
    <col min="11787" max="11787" width="0" style="2" hidden="1" customWidth="1"/>
    <col min="11788" max="12032" width="11.42578125" style="2"/>
    <col min="12033" max="12033" width="10.28515625" style="2" customWidth="1"/>
    <col min="12034" max="12034" width="42.5703125" style="2" customWidth="1"/>
    <col min="12035" max="12035" width="3" style="2" customWidth="1"/>
    <col min="12036" max="12036" width="12.7109375" style="2" customWidth="1"/>
    <col min="12037" max="12037" width="18.140625" style="2" customWidth="1"/>
    <col min="12038" max="12038" width="12.28515625" style="2" customWidth="1"/>
    <col min="12039" max="12039" width="11.42578125" style="2"/>
    <col min="12040" max="12040" width="11.7109375" style="2" customWidth="1"/>
    <col min="12041" max="12041" width="14.5703125" style="2" customWidth="1"/>
    <col min="12042" max="12042" width="25.7109375" style="2" customWidth="1"/>
    <col min="12043" max="12043" width="0" style="2" hidden="1" customWidth="1"/>
    <col min="12044" max="12288" width="11.42578125" style="2"/>
    <col min="12289" max="12289" width="10.28515625" style="2" customWidth="1"/>
    <col min="12290" max="12290" width="42.5703125" style="2" customWidth="1"/>
    <col min="12291" max="12291" width="3" style="2" customWidth="1"/>
    <col min="12292" max="12292" width="12.7109375" style="2" customWidth="1"/>
    <col min="12293" max="12293" width="18.140625" style="2" customWidth="1"/>
    <col min="12294" max="12294" width="12.28515625" style="2" customWidth="1"/>
    <col min="12295" max="12295" width="11.42578125" style="2"/>
    <col min="12296" max="12296" width="11.7109375" style="2" customWidth="1"/>
    <col min="12297" max="12297" width="14.5703125" style="2" customWidth="1"/>
    <col min="12298" max="12298" width="25.7109375" style="2" customWidth="1"/>
    <col min="12299" max="12299" width="0" style="2" hidden="1" customWidth="1"/>
    <col min="12300" max="12544" width="11.42578125" style="2"/>
    <col min="12545" max="12545" width="10.28515625" style="2" customWidth="1"/>
    <col min="12546" max="12546" width="42.5703125" style="2" customWidth="1"/>
    <col min="12547" max="12547" width="3" style="2" customWidth="1"/>
    <col min="12548" max="12548" width="12.7109375" style="2" customWidth="1"/>
    <col min="12549" max="12549" width="18.140625" style="2" customWidth="1"/>
    <col min="12550" max="12550" width="12.28515625" style="2" customWidth="1"/>
    <col min="12551" max="12551" width="11.42578125" style="2"/>
    <col min="12552" max="12552" width="11.7109375" style="2" customWidth="1"/>
    <col min="12553" max="12553" width="14.5703125" style="2" customWidth="1"/>
    <col min="12554" max="12554" width="25.7109375" style="2" customWidth="1"/>
    <col min="12555" max="12555" width="0" style="2" hidden="1" customWidth="1"/>
    <col min="12556" max="12800" width="11.42578125" style="2"/>
    <col min="12801" max="12801" width="10.28515625" style="2" customWidth="1"/>
    <col min="12802" max="12802" width="42.5703125" style="2" customWidth="1"/>
    <col min="12803" max="12803" width="3" style="2" customWidth="1"/>
    <col min="12804" max="12804" width="12.7109375" style="2" customWidth="1"/>
    <col min="12805" max="12805" width="18.140625" style="2" customWidth="1"/>
    <col min="12806" max="12806" width="12.28515625" style="2" customWidth="1"/>
    <col min="12807" max="12807" width="11.42578125" style="2"/>
    <col min="12808" max="12808" width="11.7109375" style="2" customWidth="1"/>
    <col min="12809" max="12809" width="14.5703125" style="2" customWidth="1"/>
    <col min="12810" max="12810" width="25.7109375" style="2" customWidth="1"/>
    <col min="12811" max="12811" width="0" style="2" hidden="1" customWidth="1"/>
    <col min="12812" max="13056" width="11.42578125" style="2"/>
    <col min="13057" max="13057" width="10.28515625" style="2" customWidth="1"/>
    <col min="13058" max="13058" width="42.5703125" style="2" customWidth="1"/>
    <col min="13059" max="13059" width="3" style="2" customWidth="1"/>
    <col min="13060" max="13060" width="12.7109375" style="2" customWidth="1"/>
    <col min="13061" max="13061" width="18.140625" style="2" customWidth="1"/>
    <col min="13062" max="13062" width="12.28515625" style="2" customWidth="1"/>
    <col min="13063" max="13063" width="11.42578125" style="2"/>
    <col min="13064" max="13064" width="11.7109375" style="2" customWidth="1"/>
    <col min="13065" max="13065" width="14.5703125" style="2" customWidth="1"/>
    <col min="13066" max="13066" width="25.7109375" style="2" customWidth="1"/>
    <col min="13067" max="13067" width="0" style="2" hidden="1" customWidth="1"/>
    <col min="13068" max="13312" width="11.42578125" style="2"/>
    <col min="13313" max="13313" width="10.28515625" style="2" customWidth="1"/>
    <col min="13314" max="13314" width="42.5703125" style="2" customWidth="1"/>
    <col min="13315" max="13315" width="3" style="2" customWidth="1"/>
    <col min="13316" max="13316" width="12.7109375" style="2" customWidth="1"/>
    <col min="13317" max="13317" width="18.140625" style="2" customWidth="1"/>
    <col min="13318" max="13318" width="12.28515625" style="2" customWidth="1"/>
    <col min="13319" max="13319" width="11.42578125" style="2"/>
    <col min="13320" max="13320" width="11.7109375" style="2" customWidth="1"/>
    <col min="13321" max="13321" width="14.5703125" style="2" customWidth="1"/>
    <col min="13322" max="13322" width="25.7109375" style="2" customWidth="1"/>
    <col min="13323" max="13323" width="0" style="2" hidden="1" customWidth="1"/>
    <col min="13324" max="13568" width="11.42578125" style="2"/>
    <col min="13569" max="13569" width="10.28515625" style="2" customWidth="1"/>
    <col min="13570" max="13570" width="42.5703125" style="2" customWidth="1"/>
    <col min="13571" max="13571" width="3" style="2" customWidth="1"/>
    <col min="13572" max="13572" width="12.7109375" style="2" customWidth="1"/>
    <col min="13573" max="13573" width="18.140625" style="2" customWidth="1"/>
    <col min="13574" max="13574" width="12.28515625" style="2" customWidth="1"/>
    <col min="13575" max="13575" width="11.42578125" style="2"/>
    <col min="13576" max="13576" width="11.7109375" style="2" customWidth="1"/>
    <col min="13577" max="13577" width="14.5703125" style="2" customWidth="1"/>
    <col min="13578" max="13578" width="25.7109375" style="2" customWidth="1"/>
    <col min="13579" max="13579" width="0" style="2" hidden="1" customWidth="1"/>
    <col min="13580" max="13824" width="11.42578125" style="2"/>
    <col min="13825" max="13825" width="10.28515625" style="2" customWidth="1"/>
    <col min="13826" max="13826" width="42.5703125" style="2" customWidth="1"/>
    <col min="13827" max="13827" width="3" style="2" customWidth="1"/>
    <col min="13828" max="13828" width="12.7109375" style="2" customWidth="1"/>
    <col min="13829" max="13829" width="18.140625" style="2" customWidth="1"/>
    <col min="13830" max="13830" width="12.28515625" style="2" customWidth="1"/>
    <col min="13831" max="13831" width="11.42578125" style="2"/>
    <col min="13832" max="13832" width="11.7109375" style="2" customWidth="1"/>
    <col min="13833" max="13833" width="14.5703125" style="2" customWidth="1"/>
    <col min="13834" max="13834" width="25.7109375" style="2" customWidth="1"/>
    <col min="13835" max="13835" width="0" style="2" hidden="1" customWidth="1"/>
    <col min="13836" max="14080" width="11.42578125" style="2"/>
    <col min="14081" max="14081" width="10.28515625" style="2" customWidth="1"/>
    <col min="14082" max="14082" width="42.5703125" style="2" customWidth="1"/>
    <col min="14083" max="14083" width="3" style="2" customWidth="1"/>
    <col min="14084" max="14084" width="12.7109375" style="2" customWidth="1"/>
    <col min="14085" max="14085" width="18.140625" style="2" customWidth="1"/>
    <col min="14086" max="14086" width="12.28515625" style="2" customWidth="1"/>
    <col min="14087" max="14087" width="11.42578125" style="2"/>
    <col min="14088" max="14088" width="11.7109375" style="2" customWidth="1"/>
    <col min="14089" max="14089" width="14.5703125" style="2" customWidth="1"/>
    <col min="14090" max="14090" width="25.7109375" style="2" customWidth="1"/>
    <col min="14091" max="14091" width="0" style="2" hidden="1" customWidth="1"/>
    <col min="14092" max="14336" width="11.42578125" style="2"/>
    <col min="14337" max="14337" width="10.28515625" style="2" customWidth="1"/>
    <col min="14338" max="14338" width="42.5703125" style="2" customWidth="1"/>
    <col min="14339" max="14339" width="3" style="2" customWidth="1"/>
    <col min="14340" max="14340" width="12.7109375" style="2" customWidth="1"/>
    <col min="14341" max="14341" width="18.140625" style="2" customWidth="1"/>
    <col min="14342" max="14342" width="12.28515625" style="2" customWidth="1"/>
    <col min="14343" max="14343" width="11.42578125" style="2"/>
    <col min="14344" max="14344" width="11.7109375" style="2" customWidth="1"/>
    <col min="14345" max="14345" width="14.5703125" style="2" customWidth="1"/>
    <col min="14346" max="14346" width="25.7109375" style="2" customWidth="1"/>
    <col min="14347" max="14347" width="0" style="2" hidden="1" customWidth="1"/>
    <col min="14348" max="14592" width="11.42578125" style="2"/>
    <col min="14593" max="14593" width="10.28515625" style="2" customWidth="1"/>
    <col min="14594" max="14594" width="42.5703125" style="2" customWidth="1"/>
    <col min="14595" max="14595" width="3" style="2" customWidth="1"/>
    <col min="14596" max="14596" width="12.7109375" style="2" customWidth="1"/>
    <col min="14597" max="14597" width="18.140625" style="2" customWidth="1"/>
    <col min="14598" max="14598" width="12.28515625" style="2" customWidth="1"/>
    <col min="14599" max="14599" width="11.42578125" style="2"/>
    <col min="14600" max="14600" width="11.7109375" style="2" customWidth="1"/>
    <col min="14601" max="14601" width="14.5703125" style="2" customWidth="1"/>
    <col min="14602" max="14602" width="25.7109375" style="2" customWidth="1"/>
    <col min="14603" max="14603" width="0" style="2" hidden="1" customWidth="1"/>
    <col min="14604" max="14848" width="11.42578125" style="2"/>
    <col min="14849" max="14849" width="10.28515625" style="2" customWidth="1"/>
    <col min="14850" max="14850" width="42.5703125" style="2" customWidth="1"/>
    <col min="14851" max="14851" width="3" style="2" customWidth="1"/>
    <col min="14852" max="14852" width="12.7109375" style="2" customWidth="1"/>
    <col min="14853" max="14853" width="18.140625" style="2" customWidth="1"/>
    <col min="14854" max="14854" width="12.28515625" style="2" customWidth="1"/>
    <col min="14855" max="14855" width="11.42578125" style="2"/>
    <col min="14856" max="14856" width="11.7109375" style="2" customWidth="1"/>
    <col min="14857" max="14857" width="14.5703125" style="2" customWidth="1"/>
    <col min="14858" max="14858" width="25.7109375" style="2" customWidth="1"/>
    <col min="14859" max="14859" width="0" style="2" hidden="1" customWidth="1"/>
    <col min="14860" max="15104" width="11.42578125" style="2"/>
    <col min="15105" max="15105" width="10.28515625" style="2" customWidth="1"/>
    <col min="15106" max="15106" width="42.5703125" style="2" customWidth="1"/>
    <col min="15107" max="15107" width="3" style="2" customWidth="1"/>
    <col min="15108" max="15108" width="12.7109375" style="2" customWidth="1"/>
    <col min="15109" max="15109" width="18.140625" style="2" customWidth="1"/>
    <col min="15110" max="15110" width="12.28515625" style="2" customWidth="1"/>
    <col min="15111" max="15111" width="11.42578125" style="2"/>
    <col min="15112" max="15112" width="11.7109375" style="2" customWidth="1"/>
    <col min="15113" max="15113" width="14.5703125" style="2" customWidth="1"/>
    <col min="15114" max="15114" width="25.7109375" style="2" customWidth="1"/>
    <col min="15115" max="15115" width="0" style="2" hidden="1" customWidth="1"/>
    <col min="15116" max="15360" width="11.42578125" style="2"/>
    <col min="15361" max="15361" width="10.28515625" style="2" customWidth="1"/>
    <col min="15362" max="15362" width="42.5703125" style="2" customWidth="1"/>
    <col min="15363" max="15363" width="3" style="2" customWidth="1"/>
    <col min="15364" max="15364" width="12.7109375" style="2" customWidth="1"/>
    <col min="15365" max="15365" width="18.140625" style="2" customWidth="1"/>
    <col min="15366" max="15366" width="12.28515625" style="2" customWidth="1"/>
    <col min="15367" max="15367" width="11.42578125" style="2"/>
    <col min="15368" max="15368" width="11.7109375" style="2" customWidth="1"/>
    <col min="15369" max="15369" width="14.5703125" style="2" customWidth="1"/>
    <col min="15370" max="15370" width="25.7109375" style="2" customWidth="1"/>
    <col min="15371" max="15371" width="0" style="2" hidden="1" customWidth="1"/>
    <col min="15372" max="15616" width="11.42578125" style="2"/>
    <col min="15617" max="15617" width="10.28515625" style="2" customWidth="1"/>
    <col min="15618" max="15618" width="42.5703125" style="2" customWidth="1"/>
    <col min="15619" max="15619" width="3" style="2" customWidth="1"/>
    <col min="15620" max="15620" width="12.7109375" style="2" customWidth="1"/>
    <col min="15621" max="15621" width="18.140625" style="2" customWidth="1"/>
    <col min="15622" max="15622" width="12.28515625" style="2" customWidth="1"/>
    <col min="15623" max="15623" width="11.42578125" style="2"/>
    <col min="15624" max="15624" width="11.7109375" style="2" customWidth="1"/>
    <col min="15625" max="15625" width="14.5703125" style="2" customWidth="1"/>
    <col min="15626" max="15626" width="25.7109375" style="2" customWidth="1"/>
    <col min="15627" max="15627" width="0" style="2" hidden="1" customWidth="1"/>
    <col min="15628" max="15872" width="11.42578125" style="2"/>
    <col min="15873" max="15873" width="10.28515625" style="2" customWidth="1"/>
    <col min="15874" max="15874" width="42.5703125" style="2" customWidth="1"/>
    <col min="15875" max="15875" width="3" style="2" customWidth="1"/>
    <col min="15876" max="15876" width="12.7109375" style="2" customWidth="1"/>
    <col min="15877" max="15877" width="18.140625" style="2" customWidth="1"/>
    <col min="15878" max="15878" width="12.28515625" style="2" customWidth="1"/>
    <col min="15879" max="15879" width="11.42578125" style="2"/>
    <col min="15880" max="15880" width="11.7109375" style="2" customWidth="1"/>
    <col min="15881" max="15881" width="14.5703125" style="2" customWidth="1"/>
    <col min="15882" max="15882" width="25.7109375" style="2" customWidth="1"/>
    <col min="15883" max="15883" width="0" style="2" hidden="1" customWidth="1"/>
    <col min="15884" max="16128" width="11.42578125" style="2"/>
    <col min="16129" max="16129" width="10.28515625" style="2" customWidth="1"/>
    <col min="16130" max="16130" width="42.5703125" style="2" customWidth="1"/>
    <col min="16131" max="16131" width="3" style="2" customWidth="1"/>
    <col min="16132" max="16132" width="12.7109375" style="2" customWidth="1"/>
    <col min="16133" max="16133" width="18.140625" style="2" customWidth="1"/>
    <col min="16134" max="16134" width="12.28515625" style="2" customWidth="1"/>
    <col min="16135" max="16135" width="11.42578125" style="2"/>
    <col min="16136" max="16136" width="11.7109375" style="2" customWidth="1"/>
    <col min="16137" max="16137" width="14.5703125" style="2" customWidth="1"/>
    <col min="16138" max="16138" width="25.7109375" style="2" customWidth="1"/>
    <col min="16139" max="16139" width="0" style="2" hidden="1" customWidth="1"/>
    <col min="16140" max="16384" width="11.42578125" style="2"/>
  </cols>
  <sheetData>
    <row r="1" spans="1:16 16384:16384" ht="15.75" thickBot="1">
      <c r="A1" s="500" t="s">
        <v>15</v>
      </c>
      <c r="B1" s="500"/>
      <c r="C1" s="500"/>
      <c r="D1" s="500"/>
      <c r="E1" s="500"/>
      <c r="F1" s="500"/>
      <c r="G1" s="500"/>
      <c r="H1" s="500"/>
      <c r="I1" s="500"/>
      <c r="J1" s="500"/>
    </row>
    <row r="2" spans="1:16 16384:16384" ht="43.5" customHeight="1" thickBot="1">
      <c r="A2" s="7" t="s">
        <v>16</v>
      </c>
      <c r="B2" s="501" t="s">
        <v>413</v>
      </c>
      <c r="C2" s="502"/>
      <c r="D2" s="502"/>
      <c r="E2" s="502"/>
      <c r="F2" s="502"/>
      <c r="G2" s="502"/>
      <c r="H2" s="502"/>
      <c r="I2" s="502"/>
      <c r="J2" s="503"/>
    </row>
    <row r="3" spans="1:16 16384:16384" ht="15.75" thickBot="1"/>
    <row r="4" spans="1:16 16384:16384" ht="15.75" thickBot="1">
      <c r="A4" s="13" t="s">
        <v>17</v>
      </c>
      <c r="B4" s="14"/>
      <c r="C4" s="15"/>
      <c r="D4" s="16" t="s">
        <v>18</v>
      </c>
      <c r="E4" s="17">
        <v>392201857</v>
      </c>
      <c r="F4" s="18"/>
      <c r="G4" s="19"/>
      <c r="H4" s="20"/>
      <c r="I4" s="20"/>
      <c r="J4" s="20"/>
      <c r="P4" s="435"/>
    </row>
    <row r="5" spans="1:16 16384:16384" ht="15.75" thickBot="1">
      <c r="A5" s="21" t="s">
        <v>19</v>
      </c>
      <c r="B5" s="22"/>
      <c r="C5" s="23"/>
      <c r="D5" s="24" t="s">
        <v>20</v>
      </c>
      <c r="E5" s="25">
        <v>3</v>
      </c>
      <c r="J5" s="26"/>
      <c r="M5" s="443" t="s">
        <v>616</v>
      </c>
      <c r="N5" s="434">
        <f>E4*M5</f>
        <v>531786497.90630007</v>
      </c>
    </row>
    <row r="6" spans="1:16 16384:16384" ht="15.75" thickBot="1"/>
    <row r="7" spans="1:16 16384:16384" s="31" customFormat="1" ht="18.75" thickBot="1">
      <c r="A7" s="27" t="s">
        <v>0</v>
      </c>
      <c r="B7" s="28" t="s">
        <v>21</v>
      </c>
      <c r="C7" s="28" t="s">
        <v>22</v>
      </c>
      <c r="D7" s="27" t="s">
        <v>23</v>
      </c>
      <c r="E7" s="27" t="s">
        <v>24</v>
      </c>
      <c r="F7" s="29" t="s">
        <v>25</v>
      </c>
      <c r="G7" s="28" t="s">
        <v>26</v>
      </c>
      <c r="H7" s="29" t="s">
        <v>27</v>
      </c>
      <c r="I7" s="29" t="s">
        <v>28</v>
      </c>
      <c r="J7" s="30" t="s">
        <v>29</v>
      </c>
      <c r="M7" s="438"/>
    </row>
    <row r="8" spans="1:16 16384:16384" ht="15.75" thickBot="1"/>
    <row r="9" spans="1:16 16384:16384" ht="15.75" thickBot="1">
      <c r="A9" s="32">
        <v>1</v>
      </c>
      <c r="B9" s="33" t="s">
        <v>30</v>
      </c>
      <c r="C9" s="34"/>
      <c r="D9" s="35"/>
      <c r="E9" s="35"/>
      <c r="F9" s="36"/>
      <c r="G9" s="37"/>
      <c r="H9" s="36"/>
      <c r="I9" s="36"/>
      <c r="J9" s="38">
        <f>+J10</f>
        <v>8.4678423641426054E-2</v>
      </c>
      <c r="M9" s="17">
        <f>E4</f>
        <v>392201857</v>
      </c>
      <c r="N9" s="434">
        <f>M9*M5</f>
        <v>531786497.90630007</v>
      </c>
    </row>
    <row r="10" spans="1:16 16384:16384">
      <c r="A10" s="39">
        <v>1.1000000000000001</v>
      </c>
      <c r="B10" s="40" t="s">
        <v>31</v>
      </c>
      <c r="C10" s="41"/>
      <c r="D10" s="42"/>
      <c r="E10" s="42"/>
      <c r="F10" s="43"/>
      <c r="G10" s="44"/>
      <c r="H10" s="43"/>
      <c r="I10" s="45">
        <f>SUM(H11:H19)</f>
        <v>33211035</v>
      </c>
      <c r="J10" s="46">
        <f>+I10/$E$4</f>
        <v>8.4678423641426054E-2</v>
      </c>
      <c r="K10" s="47">
        <f>SUM(J11:J21)</f>
        <v>8.4678423641426054E-2</v>
      </c>
      <c r="M10" s="440"/>
      <c r="N10" s="434">
        <f>M10*M5</f>
        <v>0</v>
      </c>
    </row>
    <row r="11" spans="1:16 16384:16384">
      <c r="A11" s="48"/>
      <c r="B11" s="49"/>
      <c r="C11" s="50"/>
      <c r="D11" s="51"/>
      <c r="E11" s="52"/>
      <c r="F11" s="53"/>
      <c r="G11" s="54"/>
      <c r="H11" s="53"/>
      <c r="I11" s="53"/>
      <c r="J11" s="55"/>
      <c r="M11" s="437"/>
      <c r="N11" s="434">
        <f>M11*M5</f>
        <v>0</v>
      </c>
    </row>
    <row r="12" spans="1:16 16384:16384">
      <c r="A12" s="48"/>
      <c r="B12" s="49" t="s">
        <v>50</v>
      </c>
      <c r="C12" s="50" t="s">
        <v>32</v>
      </c>
      <c r="D12" s="51">
        <v>1</v>
      </c>
      <c r="E12" s="96">
        <v>1</v>
      </c>
      <c r="F12" s="53">
        <v>3500000</v>
      </c>
      <c r="G12" s="54">
        <v>0.54830000000000001</v>
      </c>
      <c r="H12" s="53">
        <f t="shared" ref="H12:H16" si="0">+D12*E12*$E$5*F12*(1+G12)</f>
        <v>16257150</v>
      </c>
      <c r="I12" s="53"/>
      <c r="J12" s="55">
        <f t="shared" ref="J12:J16" si="1">+H12/$E$4</f>
        <v>4.1450976607691072E-2</v>
      </c>
    </row>
    <row r="13" spans="1:16 16384:16384">
      <c r="A13" s="48"/>
      <c r="B13" s="49" t="s">
        <v>51</v>
      </c>
      <c r="C13" s="50" t="s">
        <v>32</v>
      </c>
      <c r="D13" s="51">
        <v>1</v>
      </c>
      <c r="E13" s="52">
        <v>1</v>
      </c>
      <c r="F13" s="53">
        <v>2400000</v>
      </c>
      <c r="G13" s="54">
        <v>0.54830000000000001</v>
      </c>
      <c r="H13" s="53">
        <f t="shared" ref="H13" si="2">+D13*E13*$E$5*F13*(1+G13)</f>
        <v>11147760</v>
      </c>
      <c r="I13" s="53"/>
      <c r="J13" s="55">
        <f t="shared" ref="J13" si="3">+H13/$E$4</f>
        <v>2.842352681670245E-2</v>
      </c>
    </row>
    <row r="14" spans="1:16 16384:16384">
      <c r="A14" s="56"/>
      <c r="B14" s="49" t="s">
        <v>340</v>
      </c>
      <c r="C14" s="57" t="s">
        <v>32</v>
      </c>
      <c r="D14" s="51"/>
      <c r="E14" s="52"/>
      <c r="F14" s="53"/>
      <c r="G14" s="54">
        <v>0.54830000000000001</v>
      </c>
      <c r="H14" s="53">
        <f t="shared" si="0"/>
        <v>0</v>
      </c>
      <c r="I14" s="53"/>
      <c r="J14" s="55">
        <f t="shared" si="1"/>
        <v>0</v>
      </c>
      <c r="M14" s="439">
        <f>M9+M10+M11</f>
        <v>392201857</v>
      </c>
      <c r="XFD14" s="10">
        <f>SUM(A14:XFC14)</f>
        <v>392201857.54830003</v>
      </c>
    </row>
    <row r="15" spans="1:16 16384:16384">
      <c r="A15" s="48"/>
      <c r="B15" s="49" t="s">
        <v>411</v>
      </c>
      <c r="C15" s="50" t="s">
        <v>406</v>
      </c>
      <c r="D15" s="51">
        <v>0.5</v>
      </c>
      <c r="E15" s="96">
        <v>1</v>
      </c>
      <c r="F15" s="53">
        <v>2500000</v>
      </c>
      <c r="G15" s="54">
        <v>0.54830000000000001</v>
      </c>
      <c r="H15" s="53">
        <f t="shared" si="0"/>
        <v>5806125</v>
      </c>
      <c r="I15" s="53"/>
      <c r="J15" s="55">
        <f t="shared" si="1"/>
        <v>1.4803920217032527E-2</v>
      </c>
      <c r="M15" s="441"/>
    </row>
    <row r="16" spans="1:16 16384:16384">
      <c r="A16" s="48"/>
      <c r="B16" s="49" t="s">
        <v>404</v>
      </c>
      <c r="C16" s="50" t="s">
        <v>406</v>
      </c>
      <c r="D16" s="51">
        <v>0</v>
      </c>
      <c r="E16" s="52">
        <v>1</v>
      </c>
      <c r="F16" s="53">
        <v>300000</v>
      </c>
      <c r="G16" s="54">
        <v>0.54830000000000001</v>
      </c>
      <c r="H16" s="53">
        <f t="shared" si="0"/>
        <v>0</v>
      </c>
      <c r="I16" s="53"/>
      <c r="J16" s="55">
        <f t="shared" si="1"/>
        <v>0</v>
      </c>
      <c r="M16" s="441"/>
    </row>
    <row r="17" spans="1:14 16384:16384">
      <c r="A17" s="48"/>
      <c r="B17" s="49" t="s">
        <v>405</v>
      </c>
      <c r="C17" s="50" t="s">
        <v>406</v>
      </c>
      <c r="D17" s="51">
        <v>0</v>
      </c>
      <c r="E17" s="96">
        <v>1</v>
      </c>
      <c r="F17" s="53">
        <v>300000</v>
      </c>
      <c r="G17" s="54">
        <v>0.54830000000000001</v>
      </c>
      <c r="H17" s="53">
        <f t="shared" ref="H17:H18" si="4">+D17*E17*$E$5*F17*(1+G17)</f>
        <v>0</v>
      </c>
      <c r="I17" s="53"/>
      <c r="J17" s="55">
        <f t="shared" ref="J17:J18" si="5">+H17/$E$4</f>
        <v>0</v>
      </c>
    </row>
    <row r="18" spans="1:14 16384:16384">
      <c r="A18" s="48"/>
      <c r="B18" s="49" t="s">
        <v>412</v>
      </c>
      <c r="C18" s="50" t="s">
        <v>406</v>
      </c>
      <c r="D18" s="51"/>
      <c r="E18" s="52"/>
      <c r="F18" s="53"/>
      <c r="G18" s="54">
        <v>0.54830000000000001</v>
      </c>
      <c r="H18" s="53">
        <f t="shared" si="4"/>
        <v>0</v>
      </c>
      <c r="I18" s="53"/>
      <c r="J18" s="55">
        <f t="shared" si="5"/>
        <v>0</v>
      </c>
    </row>
    <row r="19" spans="1:14 16384:16384">
      <c r="A19" s="56"/>
      <c r="B19" s="49"/>
      <c r="C19" s="57"/>
      <c r="D19" s="51"/>
      <c r="E19" s="52"/>
      <c r="F19" s="53"/>
      <c r="G19" s="54"/>
      <c r="H19" s="53"/>
      <c r="I19" s="53"/>
      <c r="J19" s="55"/>
      <c r="N19" s="435"/>
      <c r="XFD19" s="10">
        <f>SUM(A19:XFC19)</f>
        <v>0</v>
      </c>
    </row>
    <row r="20" spans="1:14 16384:16384">
      <c r="A20" s="48"/>
      <c r="B20" s="58"/>
      <c r="C20" s="50"/>
      <c r="D20" s="51"/>
      <c r="E20" s="51"/>
      <c r="F20" s="53"/>
      <c r="G20" s="54"/>
      <c r="H20" s="53"/>
      <c r="I20" s="53"/>
      <c r="J20" s="59"/>
    </row>
    <row r="21" spans="1:14 16384:16384">
      <c r="A21" s="48"/>
      <c r="B21" s="49"/>
      <c r="C21" s="50"/>
      <c r="D21" s="60"/>
      <c r="E21" s="51"/>
      <c r="F21" s="53"/>
      <c r="G21" s="54"/>
      <c r="H21" s="53"/>
      <c r="I21" s="53"/>
      <c r="J21" s="59"/>
    </row>
    <row r="22" spans="1:14 16384:16384">
      <c r="A22" s="39">
        <v>2</v>
      </c>
      <c r="B22" s="61" t="s">
        <v>33</v>
      </c>
      <c r="C22" s="41"/>
      <c r="D22" s="51"/>
      <c r="E22" s="51"/>
      <c r="F22" s="53"/>
      <c r="G22" s="49"/>
      <c r="H22" s="53"/>
      <c r="I22" s="53"/>
      <c r="J22" s="62">
        <f>J23+J26+J31+J34</f>
        <v>0.21117436572921114</v>
      </c>
    </row>
    <row r="23" spans="1:14 16384:16384">
      <c r="A23" s="48">
        <v>2.1</v>
      </c>
      <c r="B23" s="40" t="s">
        <v>34</v>
      </c>
      <c r="C23" s="41"/>
      <c r="D23" s="51"/>
      <c r="E23" s="51"/>
      <c r="F23" s="53"/>
      <c r="G23" s="49"/>
      <c r="H23" s="53"/>
      <c r="I23" s="45"/>
      <c r="J23" s="46"/>
      <c r="K23" s="47">
        <f>SUM(J24:J25)</f>
        <v>0</v>
      </c>
    </row>
    <row r="24" spans="1:14 16384:16384">
      <c r="A24" s="48"/>
      <c r="B24" s="49" t="s">
        <v>35</v>
      </c>
      <c r="C24" s="41"/>
      <c r="D24" s="54"/>
      <c r="E24" s="51"/>
      <c r="F24" s="53"/>
      <c r="G24" s="63">
        <v>1.3559399999999999</v>
      </c>
      <c r="H24" s="53"/>
      <c r="I24" s="53"/>
      <c r="J24" s="59"/>
    </row>
    <row r="25" spans="1:14 16384:16384">
      <c r="A25" s="48"/>
      <c r="B25" s="49"/>
      <c r="C25" s="41"/>
      <c r="D25" s="60"/>
      <c r="E25" s="51"/>
      <c r="F25" s="64"/>
      <c r="G25" s="65"/>
      <c r="H25" s="53"/>
      <c r="I25" s="53"/>
      <c r="J25" s="59"/>
    </row>
    <row r="26" spans="1:14 16384:16384">
      <c r="A26" s="48">
        <v>2.2000000000000002</v>
      </c>
      <c r="B26" s="40" t="s">
        <v>36</v>
      </c>
      <c r="C26" s="41"/>
      <c r="D26" s="51"/>
      <c r="E26" s="51"/>
      <c r="F26" s="53"/>
      <c r="G26" s="66"/>
      <c r="H26" s="53"/>
      <c r="I26" s="45">
        <f>SUM(H27:H30)</f>
        <v>5743463.6085902629</v>
      </c>
      <c r="J26" s="46">
        <f>+I26/$E$4</f>
        <v>1.4644151999999997E-2</v>
      </c>
      <c r="K26" s="47">
        <f>SUM(J27:J30)</f>
        <v>1.4644152000000001E-2</v>
      </c>
    </row>
    <row r="27" spans="1:14 16384:16384">
      <c r="A27" s="48"/>
      <c r="B27" s="49" t="s">
        <v>37</v>
      </c>
      <c r="C27" s="41" t="s">
        <v>38</v>
      </c>
      <c r="D27" s="54">
        <v>6.9999999999999999E-4</v>
      </c>
      <c r="E27" s="51"/>
      <c r="F27" s="53">
        <f>+$E$4</f>
        <v>392201857</v>
      </c>
      <c r="G27" s="65">
        <f>+$G$24</f>
        <v>1.3559399999999999</v>
      </c>
      <c r="H27" s="53">
        <f>+F27*G27*D27</f>
        <v>372261.53018640599</v>
      </c>
      <c r="I27" s="53"/>
      <c r="J27" s="59">
        <f>+H27/$E$4</f>
        <v>9.4915799999999997E-4</v>
      </c>
    </row>
    <row r="28" spans="1:14 16384:16384">
      <c r="A28" s="48"/>
      <c r="B28" s="49" t="s">
        <v>39</v>
      </c>
      <c r="C28" s="41" t="s">
        <v>38</v>
      </c>
      <c r="D28" s="54">
        <v>5.7999999999999996E-3</v>
      </c>
      <c r="E28" s="51"/>
      <c r="F28" s="53">
        <f>+$E$4</f>
        <v>392201857</v>
      </c>
      <c r="G28" s="65">
        <f>+$G$24</f>
        <v>1.3559399999999999</v>
      </c>
      <c r="H28" s="53">
        <f>+F28*G28*D28</f>
        <v>3084452.6786873634</v>
      </c>
      <c r="I28" s="53"/>
      <c r="J28" s="59">
        <f>+H28/$E$4</f>
        <v>7.8644519999999992E-3</v>
      </c>
    </row>
    <row r="29" spans="1:14 16384:16384">
      <c r="A29" s="48"/>
      <c r="B29" s="49" t="s">
        <v>40</v>
      </c>
      <c r="C29" s="41" t="s">
        <v>38</v>
      </c>
      <c r="D29" s="54">
        <v>2.3999999999999998E-3</v>
      </c>
      <c r="E29" s="51"/>
      <c r="F29" s="53">
        <f>+$E$4</f>
        <v>392201857</v>
      </c>
      <c r="G29" s="65">
        <f>+$G$24</f>
        <v>1.3559399999999999</v>
      </c>
      <c r="H29" s="53">
        <f>+F29*G29*D29</f>
        <v>1276325.2463533918</v>
      </c>
      <c r="I29" s="53"/>
      <c r="J29" s="59">
        <f>+H29/$E$4</f>
        <v>3.2542559999999996E-3</v>
      </c>
    </row>
    <row r="30" spans="1:14 16384:16384">
      <c r="A30" s="48"/>
      <c r="B30" s="49" t="s">
        <v>41</v>
      </c>
      <c r="C30" s="41" t="s">
        <v>38</v>
      </c>
      <c r="D30" s="54">
        <v>1.9E-3</v>
      </c>
      <c r="E30" s="51"/>
      <c r="F30" s="53">
        <f>+$E$4</f>
        <v>392201857</v>
      </c>
      <c r="G30" s="65">
        <f>+$G$24</f>
        <v>1.3559399999999999</v>
      </c>
      <c r="H30" s="53">
        <f>+F30*G30*D30</f>
        <v>1010424.153363102</v>
      </c>
      <c r="I30" s="53"/>
      <c r="J30" s="59">
        <f>+H30/$E$4</f>
        <v>2.5762860000000001E-3</v>
      </c>
    </row>
    <row r="31" spans="1:14 16384:16384">
      <c r="A31" s="48">
        <v>2.3000000000000003</v>
      </c>
      <c r="B31" s="40" t="s">
        <v>42</v>
      </c>
      <c r="C31" s="41"/>
      <c r="D31" s="51"/>
      <c r="E31" s="51"/>
      <c r="F31" s="53"/>
      <c r="G31" s="66"/>
      <c r="H31" s="53"/>
      <c r="I31" s="45">
        <f>SUM(H32:H33)</f>
        <v>500000</v>
      </c>
      <c r="J31" s="46">
        <f>+I31/$E$4</f>
        <v>1.2748537292111802E-3</v>
      </c>
      <c r="K31" s="47">
        <f>SUM(J32:J33)</f>
        <v>1.2748537292111802E-3</v>
      </c>
    </row>
    <row r="32" spans="1:14 16384:16384">
      <c r="A32" s="48"/>
      <c r="B32" s="49" t="s">
        <v>208</v>
      </c>
      <c r="C32" s="50" t="s">
        <v>32</v>
      </c>
      <c r="D32" s="51">
        <v>1</v>
      </c>
      <c r="E32" s="67">
        <v>1</v>
      </c>
      <c r="F32" s="68">
        <v>200000</v>
      </c>
      <c r="G32" s="66"/>
      <c r="H32" s="53">
        <f>+D32*F32</f>
        <v>200000</v>
      </c>
      <c r="I32" s="53"/>
      <c r="J32" s="59">
        <f>+H32/$E$4</f>
        <v>5.0994149168447208E-4</v>
      </c>
    </row>
    <row r="33" spans="1:11">
      <c r="A33" s="48"/>
      <c r="B33" s="49" t="s">
        <v>43</v>
      </c>
      <c r="C33" s="50" t="s">
        <v>44</v>
      </c>
      <c r="D33" s="51">
        <v>1</v>
      </c>
      <c r="E33" s="51"/>
      <c r="F33" s="68">
        <v>300000</v>
      </c>
      <c r="G33" s="66"/>
      <c r="H33" s="53">
        <f>+F33*D33</f>
        <v>300000</v>
      </c>
      <c r="I33" s="53"/>
      <c r="J33" s="59">
        <f>+H33/$E$4</f>
        <v>7.6491223752670813E-4</v>
      </c>
    </row>
    <row r="34" spans="1:11">
      <c r="A34" s="48">
        <v>2.4</v>
      </c>
      <c r="B34" s="40" t="s">
        <v>45</v>
      </c>
      <c r="C34" s="41"/>
      <c r="D34" s="51"/>
      <c r="E34" s="51"/>
      <c r="F34" s="53"/>
      <c r="G34" s="66"/>
      <c r="H34" s="53"/>
      <c r="I34" s="45">
        <f>SUM(H35:H42)</f>
        <v>76579514.781203508</v>
      </c>
      <c r="J34" s="46">
        <f>+I34/$E$4</f>
        <v>0.19525535999999996</v>
      </c>
      <c r="K34" s="47">
        <f>SUM(J35:J42)</f>
        <v>0.19525535999999999</v>
      </c>
    </row>
    <row r="35" spans="1:11">
      <c r="A35" s="48"/>
      <c r="B35" s="49" t="s">
        <v>338</v>
      </c>
      <c r="C35" s="41" t="s">
        <v>38</v>
      </c>
      <c r="D35" s="54">
        <v>4.0000000000000001E-3</v>
      </c>
      <c r="E35" s="51"/>
      <c r="F35" s="53">
        <f t="shared" ref="F35:F42" si="6">+$E$4</f>
        <v>392201857</v>
      </c>
      <c r="G35" s="65">
        <f t="shared" ref="G35:G40" si="7">+$G$24</f>
        <v>1.3559399999999999</v>
      </c>
      <c r="H35" s="53">
        <f>+D35*F35*G35</f>
        <v>2127208.7439223202</v>
      </c>
      <c r="I35" s="53"/>
      <c r="J35" s="59">
        <f t="shared" ref="J35:J42" si="8">+H35/$E$4</f>
        <v>5.4237600000000006E-3</v>
      </c>
    </row>
    <row r="36" spans="1:11">
      <c r="A36" s="48"/>
      <c r="B36" s="49" t="s">
        <v>339</v>
      </c>
      <c r="C36" s="41" t="s">
        <v>38</v>
      </c>
      <c r="D36" s="54">
        <v>5.0000000000000001E-3</v>
      </c>
      <c r="E36" s="51"/>
      <c r="F36" s="53">
        <f t="shared" si="6"/>
        <v>392201857</v>
      </c>
      <c r="G36" s="65">
        <f t="shared" si="7"/>
        <v>1.3559399999999999</v>
      </c>
      <c r="H36" s="53">
        <f>+D36*F36*G36</f>
        <v>2659010.9299029</v>
      </c>
      <c r="I36" s="53"/>
      <c r="J36" s="59">
        <f t="shared" si="8"/>
        <v>6.7796999999999996E-3</v>
      </c>
    </row>
    <row r="37" spans="1:11">
      <c r="A37" s="48"/>
      <c r="B37" s="49" t="s">
        <v>336</v>
      </c>
      <c r="C37" s="41" t="s">
        <v>38</v>
      </c>
      <c r="D37" s="54">
        <v>0.02</v>
      </c>
      <c r="E37" s="51"/>
      <c r="F37" s="53">
        <f t="shared" si="6"/>
        <v>392201857</v>
      </c>
      <c r="G37" s="65">
        <f t="shared" si="7"/>
        <v>1.3559399999999999</v>
      </c>
      <c r="H37" s="53">
        <f>+D37*F37*G37</f>
        <v>10636043.7196116</v>
      </c>
      <c r="I37" s="53"/>
      <c r="J37" s="59">
        <f t="shared" si="8"/>
        <v>2.7118799999999998E-2</v>
      </c>
    </row>
    <row r="38" spans="1:11">
      <c r="A38" s="48"/>
      <c r="B38" s="49" t="s">
        <v>407</v>
      </c>
      <c r="C38" s="41" t="s">
        <v>38</v>
      </c>
      <c r="D38" s="54">
        <v>0.02</v>
      </c>
      <c r="E38" s="51"/>
      <c r="F38" s="53">
        <f t="shared" si="6"/>
        <v>392201857</v>
      </c>
      <c r="G38" s="65">
        <f t="shared" si="7"/>
        <v>1.3559399999999999</v>
      </c>
      <c r="H38" s="53">
        <f t="shared" ref="H38:H39" si="9">+D38*F38*G38</f>
        <v>10636043.7196116</v>
      </c>
      <c r="I38" s="53"/>
      <c r="J38" s="59">
        <f t="shared" si="8"/>
        <v>2.7118799999999998E-2</v>
      </c>
    </row>
    <row r="39" spans="1:11">
      <c r="A39" s="48"/>
      <c r="B39" s="49" t="s">
        <v>337</v>
      </c>
      <c r="C39" s="41" t="s">
        <v>38</v>
      </c>
      <c r="D39" s="54">
        <v>0.02</v>
      </c>
      <c r="E39" s="51"/>
      <c r="F39" s="53">
        <f t="shared" si="6"/>
        <v>392201857</v>
      </c>
      <c r="G39" s="65">
        <f t="shared" si="7"/>
        <v>1.3559399999999999</v>
      </c>
      <c r="H39" s="53">
        <f t="shared" si="9"/>
        <v>10636043.7196116</v>
      </c>
      <c r="I39" s="53"/>
      <c r="J39" s="59">
        <f t="shared" si="8"/>
        <v>2.7118799999999998E-2</v>
      </c>
    </row>
    <row r="40" spans="1:11">
      <c r="A40" s="48"/>
      <c r="B40" s="49" t="s">
        <v>408</v>
      </c>
      <c r="C40" s="41" t="s">
        <v>38</v>
      </c>
      <c r="D40" s="54">
        <v>0.02</v>
      </c>
      <c r="E40" s="51"/>
      <c r="F40" s="53">
        <f t="shared" si="6"/>
        <v>392201857</v>
      </c>
      <c r="G40" s="65">
        <f t="shared" si="7"/>
        <v>1.3559399999999999</v>
      </c>
      <c r="H40" s="53">
        <f>+D40*F40*G40</f>
        <v>10636043.7196116</v>
      </c>
      <c r="I40" s="53"/>
      <c r="J40" s="59">
        <f t="shared" si="8"/>
        <v>2.7118799999999998E-2</v>
      </c>
    </row>
    <row r="41" spans="1:11">
      <c r="A41" s="48"/>
      <c r="B41" s="49" t="s">
        <v>409</v>
      </c>
      <c r="C41" s="41" t="s">
        <v>38</v>
      </c>
      <c r="D41" s="54">
        <v>5.0000000000000001E-3</v>
      </c>
      <c r="E41" s="69"/>
      <c r="F41" s="53">
        <f t="shared" si="6"/>
        <v>392201857</v>
      </c>
      <c r="G41" s="65">
        <f>+G36</f>
        <v>1.3559399999999999</v>
      </c>
      <c r="H41" s="53">
        <f>+D41*F41*G41</f>
        <v>2659010.9299029</v>
      </c>
      <c r="I41" s="64"/>
      <c r="J41" s="70">
        <f t="shared" ref="J41" si="10">+H41/$E$4</f>
        <v>6.7796999999999996E-3</v>
      </c>
    </row>
    <row r="42" spans="1:11" ht="15.75" thickBot="1">
      <c r="A42" s="48"/>
      <c r="B42" s="49" t="s">
        <v>410</v>
      </c>
      <c r="C42" s="41" t="s">
        <v>38</v>
      </c>
      <c r="D42" s="54">
        <v>0.05</v>
      </c>
      <c r="E42" s="69"/>
      <c r="F42" s="53">
        <f t="shared" si="6"/>
        <v>392201857</v>
      </c>
      <c r="G42" s="65">
        <f>+G37</f>
        <v>1.3559399999999999</v>
      </c>
      <c r="H42" s="53">
        <f>+D42*F42*G42</f>
        <v>26590109.299029</v>
      </c>
      <c r="I42" s="64"/>
      <c r="J42" s="70">
        <f t="shared" si="8"/>
        <v>6.7796999999999996E-2</v>
      </c>
    </row>
    <row r="43" spans="1:11" ht="15.75" thickBot="1">
      <c r="A43" s="71"/>
      <c r="B43" s="504" t="s">
        <v>46</v>
      </c>
      <c r="C43" s="504"/>
      <c r="D43" s="504"/>
      <c r="E43" s="72"/>
      <c r="F43" s="72"/>
      <c r="G43" s="73"/>
      <c r="H43" s="74"/>
      <c r="I43" s="75">
        <f>SUM(I10:I42)</f>
        <v>116034013.38979377</v>
      </c>
      <c r="J43" s="76">
        <f>+ROUND((J9+J22),4)</f>
        <v>0.2959</v>
      </c>
      <c r="K43" s="47">
        <f>+J22+J9</f>
        <v>0.29585278937063719</v>
      </c>
    </row>
    <row r="44" spans="1:11">
      <c r="A44" s="77"/>
      <c r="B44" s="78"/>
      <c r="C44" s="34"/>
      <c r="D44" s="79"/>
      <c r="E44" s="79"/>
      <c r="F44" s="80"/>
      <c r="G44" s="81"/>
      <c r="H44" s="80"/>
      <c r="I44" s="80"/>
      <c r="J44" s="82">
        <v>0</v>
      </c>
    </row>
    <row r="45" spans="1:11" ht="15.75" thickBot="1">
      <c r="A45" s="48"/>
      <c r="B45" s="83" t="s">
        <v>47</v>
      </c>
      <c r="C45" s="41"/>
      <c r="D45" s="51"/>
      <c r="E45" s="51"/>
      <c r="F45" s="53"/>
      <c r="G45" s="49"/>
      <c r="H45" s="53"/>
      <c r="I45" s="67">
        <v>0.06</v>
      </c>
      <c r="J45" s="84">
        <v>0.06</v>
      </c>
    </row>
    <row r="46" spans="1:11" ht="15.75" thickBot="1">
      <c r="A46" s="85"/>
      <c r="B46" s="86" t="s">
        <v>48</v>
      </c>
      <c r="C46" s="87"/>
      <c r="D46" s="88"/>
      <c r="E46" s="88"/>
      <c r="F46" s="89"/>
      <c r="G46" s="90"/>
      <c r="H46" s="89"/>
      <c r="I46" s="91"/>
      <c r="J46" s="76">
        <f>SUM(J43+J44+J45)</f>
        <v>0.35589999999999999</v>
      </c>
    </row>
    <row r="47" spans="1:11">
      <c r="A47" s="92"/>
      <c r="D47" s="93"/>
      <c r="E47" s="93"/>
      <c r="F47" s="20"/>
      <c r="G47" s="6"/>
      <c r="H47" s="20"/>
      <c r="I47" s="20"/>
      <c r="J47" s="47"/>
    </row>
    <row r="48" spans="1:11">
      <c r="A48" s="92"/>
      <c r="D48" s="93"/>
      <c r="E48" s="93"/>
      <c r="F48" s="20"/>
      <c r="G48" s="6"/>
      <c r="H48" s="20"/>
      <c r="I48" s="20"/>
      <c r="J48" s="47"/>
    </row>
    <row r="49" spans="1:13" s="4" customFormat="1" ht="12.75">
      <c r="A49" s="5"/>
      <c r="C49" s="4" t="s">
        <v>209</v>
      </c>
      <c r="G49" s="94"/>
      <c r="H49" s="95"/>
      <c r="M49" s="442"/>
    </row>
    <row r="50" spans="1:13" s="4" customFormat="1" ht="12.75">
      <c r="A50" s="5"/>
      <c r="C50" s="4" t="s">
        <v>14</v>
      </c>
      <c r="H50" s="95"/>
      <c r="M50" s="442"/>
    </row>
    <row r="51" spans="1:13">
      <c r="A51" s="1"/>
      <c r="B51" s="4"/>
      <c r="C51" s="4" t="s">
        <v>49</v>
      </c>
      <c r="D51" s="4"/>
      <c r="E51" s="4"/>
      <c r="F51" s="4"/>
      <c r="G51" s="94"/>
      <c r="H51" s="95"/>
      <c r="I51" s="2"/>
      <c r="J51" s="2"/>
      <c r="K51" s="2"/>
    </row>
    <row r="52" spans="1:13">
      <c r="A52" s="1"/>
      <c r="B52" s="3"/>
      <c r="C52" s="2"/>
      <c r="D52" s="2"/>
      <c r="E52" s="2"/>
      <c r="F52" s="2"/>
      <c r="H52" s="95"/>
      <c r="I52" s="2"/>
      <c r="J52" s="2"/>
      <c r="K52" s="2"/>
    </row>
    <row r="53" spans="1:13">
      <c r="A53" s="92"/>
      <c r="I53" s="20"/>
      <c r="J53" s="47"/>
      <c r="K53" s="2"/>
    </row>
    <row r="54" spans="1:13">
      <c r="A54" s="92"/>
      <c r="I54" s="20"/>
      <c r="J54" s="47"/>
      <c r="K54" s="2"/>
    </row>
    <row r="55" spans="1:13">
      <c r="A55" s="92"/>
      <c r="I55" s="20"/>
      <c r="J55" s="47"/>
      <c r="K55" s="2"/>
    </row>
    <row r="56" spans="1:13">
      <c r="A56" s="92"/>
      <c r="I56" s="20"/>
      <c r="J56" s="47"/>
      <c r="K56" s="2"/>
    </row>
    <row r="57" spans="1:13">
      <c r="A57" s="92"/>
      <c r="I57" s="20"/>
      <c r="J57" s="47"/>
      <c r="K57" s="2"/>
    </row>
    <row r="58" spans="1:13">
      <c r="A58" s="92"/>
      <c r="I58" s="20"/>
      <c r="J58" s="47"/>
      <c r="K58" s="2"/>
    </row>
    <row r="59" spans="1:13">
      <c r="A59" s="92"/>
      <c r="I59" s="20"/>
      <c r="J59" s="47"/>
      <c r="K59" s="2"/>
    </row>
    <row r="60" spans="1:13">
      <c r="A60" s="92"/>
      <c r="I60" s="20"/>
      <c r="J60" s="47"/>
      <c r="K60" s="2"/>
    </row>
    <row r="61" spans="1:13">
      <c r="A61" s="92"/>
      <c r="I61" s="20"/>
      <c r="J61" s="47"/>
      <c r="K61" s="2"/>
    </row>
    <row r="62" spans="1:13">
      <c r="A62" s="92"/>
      <c r="I62" s="20"/>
      <c r="J62" s="47"/>
      <c r="K62" s="2"/>
    </row>
    <row r="63" spans="1:13">
      <c r="A63" s="92"/>
      <c r="I63" s="20"/>
      <c r="J63" s="47"/>
      <c r="K63" s="2"/>
    </row>
    <row r="64" spans="1:13">
      <c r="A64" s="92"/>
      <c r="I64" s="20"/>
      <c r="J64" s="47"/>
      <c r="K64" s="2"/>
    </row>
    <row r="65" spans="1:11">
      <c r="A65" s="92"/>
      <c r="I65" s="20"/>
      <c r="J65" s="47"/>
      <c r="K65" s="2"/>
    </row>
    <row r="66" spans="1:11">
      <c r="A66" s="92"/>
      <c r="I66" s="20"/>
      <c r="J66" s="47"/>
      <c r="K66" s="2"/>
    </row>
    <row r="67" spans="1:11">
      <c r="A67" s="92"/>
      <c r="I67" s="20"/>
      <c r="J67" s="47"/>
      <c r="K67" s="2"/>
    </row>
    <row r="68" spans="1:11">
      <c r="A68" s="92"/>
      <c r="I68" s="20"/>
      <c r="J68" s="47"/>
      <c r="K68" s="2"/>
    </row>
    <row r="69" spans="1:11">
      <c r="A69" s="92"/>
      <c r="I69" s="20"/>
      <c r="J69" s="47"/>
      <c r="K69" s="2"/>
    </row>
    <row r="70" spans="1:11">
      <c r="A70" s="92"/>
      <c r="I70" s="20"/>
      <c r="J70" s="47"/>
      <c r="K70" s="2"/>
    </row>
    <row r="71" spans="1:11">
      <c r="A71" s="92"/>
      <c r="I71" s="20"/>
      <c r="J71" s="47"/>
      <c r="K71" s="2"/>
    </row>
    <row r="72" spans="1:11">
      <c r="A72" s="92"/>
      <c r="I72" s="20"/>
      <c r="J72" s="47"/>
      <c r="K72" s="2"/>
    </row>
    <row r="73" spans="1:11">
      <c r="A73" s="92"/>
      <c r="I73" s="20"/>
      <c r="J73" s="47"/>
      <c r="K73" s="2"/>
    </row>
    <row r="74" spans="1:11">
      <c r="A74" s="92"/>
      <c r="I74" s="20"/>
      <c r="J74" s="47"/>
      <c r="K74" s="2"/>
    </row>
    <row r="75" spans="1:11">
      <c r="A75" s="92"/>
      <c r="I75" s="20"/>
      <c r="J75" s="47"/>
      <c r="K75" s="2"/>
    </row>
    <row r="76" spans="1:11">
      <c r="A76" s="92"/>
      <c r="I76" s="20"/>
      <c r="J76" s="47"/>
      <c r="K76" s="2"/>
    </row>
    <row r="77" spans="1:11">
      <c r="A77" s="92"/>
      <c r="I77" s="20"/>
      <c r="J77" s="47"/>
      <c r="K77" s="2"/>
    </row>
    <row r="78" spans="1:11">
      <c r="A78" s="92"/>
      <c r="B78" s="2"/>
      <c r="C78" s="2"/>
      <c r="D78" s="2"/>
      <c r="E78" s="2"/>
      <c r="F78" s="2"/>
      <c r="H78" s="2"/>
      <c r="I78" s="2"/>
      <c r="J78" s="2"/>
      <c r="K78" s="2"/>
    </row>
    <row r="79" spans="1:11">
      <c r="A79" s="92"/>
      <c r="B79" s="2"/>
      <c r="C79" s="2"/>
      <c r="D79" s="2"/>
      <c r="E79" s="2"/>
      <c r="F79" s="2"/>
      <c r="H79" s="2"/>
      <c r="I79" s="2"/>
      <c r="J79" s="2"/>
      <c r="K79" s="2"/>
    </row>
    <row r="80" spans="1:11">
      <c r="A80" s="92"/>
      <c r="B80" s="2"/>
      <c r="C80" s="2"/>
      <c r="D80" s="2"/>
      <c r="E80" s="2"/>
      <c r="F80" s="2"/>
      <c r="H80" s="2"/>
      <c r="I80" s="2"/>
      <c r="J80" s="2"/>
      <c r="K80" s="2"/>
    </row>
    <row r="81" spans="1:11">
      <c r="A81" s="92"/>
      <c r="B81" s="2"/>
      <c r="C81" s="2"/>
      <c r="D81" s="2"/>
      <c r="E81" s="2"/>
      <c r="F81" s="2"/>
      <c r="H81" s="2"/>
      <c r="I81" s="2"/>
      <c r="J81" s="2"/>
      <c r="K81" s="2"/>
    </row>
    <row r="82" spans="1:11">
      <c r="A82" s="92"/>
      <c r="B82" s="2"/>
      <c r="C82" s="2"/>
      <c r="D82" s="2"/>
      <c r="E82" s="2"/>
      <c r="F82" s="2"/>
      <c r="H82" s="2"/>
      <c r="I82" s="2"/>
      <c r="J82" s="2"/>
      <c r="K82" s="2"/>
    </row>
    <row r="83" spans="1:11">
      <c r="A83" s="92"/>
      <c r="B83" s="2"/>
      <c r="C83" s="2"/>
      <c r="D83" s="2"/>
      <c r="E83" s="2"/>
      <c r="F83" s="2"/>
      <c r="H83" s="2"/>
      <c r="I83" s="2"/>
      <c r="J83" s="2"/>
      <c r="K83" s="2"/>
    </row>
    <row r="84" spans="1:11">
      <c r="A84" s="92"/>
      <c r="B84" s="2"/>
      <c r="C84" s="2"/>
      <c r="D84" s="2"/>
      <c r="E84" s="2"/>
      <c r="F84" s="2"/>
      <c r="H84" s="2"/>
      <c r="I84" s="2"/>
      <c r="J84" s="2"/>
      <c r="K84" s="2"/>
    </row>
    <row r="85" spans="1:11">
      <c r="A85" s="92"/>
      <c r="B85" s="2"/>
      <c r="C85" s="2"/>
      <c r="D85" s="2"/>
      <c r="E85" s="2"/>
      <c r="F85" s="2"/>
      <c r="H85" s="2"/>
      <c r="I85" s="2"/>
      <c r="J85" s="2"/>
      <c r="K85" s="2"/>
    </row>
    <row r="86" spans="1:11">
      <c r="A86" s="92"/>
      <c r="B86" s="2"/>
      <c r="C86" s="2"/>
      <c r="D86" s="2"/>
      <c r="E86" s="2"/>
      <c r="F86" s="2"/>
      <c r="H86" s="2"/>
      <c r="I86" s="2"/>
      <c r="J86" s="2"/>
      <c r="K86" s="2"/>
    </row>
    <row r="87" spans="1:11">
      <c r="A87" s="92"/>
      <c r="B87" s="2"/>
      <c r="C87" s="2"/>
      <c r="D87" s="2"/>
      <c r="E87" s="2"/>
      <c r="F87" s="2"/>
      <c r="H87" s="2"/>
      <c r="I87" s="2"/>
      <c r="J87" s="2"/>
      <c r="K87" s="2"/>
    </row>
    <row r="88" spans="1:11">
      <c r="A88" s="92"/>
      <c r="B88" s="2"/>
      <c r="C88" s="2"/>
      <c r="D88" s="2"/>
      <c r="E88" s="2"/>
      <c r="F88" s="2"/>
      <c r="H88" s="2"/>
      <c r="I88" s="2"/>
      <c r="J88" s="2"/>
      <c r="K88" s="2"/>
    </row>
    <row r="89" spans="1:11">
      <c r="A89" s="92"/>
      <c r="B89" s="2"/>
      <c r="C89" s="2"/>
      <c r="D89" s="2"/>
      <c r="E89" s="2"/>
      <c r="F89" s="2"/>
      <c r="H89" s="2"/>
      <c r="I89" s="2"/>
      <c r="J89" s="2"/>
      <c r="K89" s="2"/>
    </row>
    <row r="90" spans="1:11">
      <c r="A90" s="92"/>
      <c r="B90" s="2"/>
      <c r="C90" s="2"/>
      <c r="D90" s="2"/>
      <c r="E90" s="2"/>
      <c r="F90" s="2"/>
      <c r="H90" s="2"/>
      <c r="I90" s="2"/>
      <c r="J90" s="2"/>
      <c r="K90" s="2"/>
    </row>
    <row r="91" spans="1:11">
      <c r="A91" s="92"/>
      <c r="B91" s="2"/>
      <c r="C91" s="2"/>
      <c r="D91" s="2"/>
      <c r="E91" s="2"/>
      <c r="F91" s="2"/>
      <c r="H91" s="2"/>
      <c r="I91" s="2"/>
      <c r="J91" s="2"/>
      <c r="K91" s="2"/>
    </row>
    <row r="92" spans="1:11">
      <c r="A92" s="92"/>
      <c r="B92" s="2"/>
      <c r="C92" s="2"/>
      <c r="D92" s="2"/>
      <c r="E92" s="2"/>
      <c r="F92" s="2"/>
      <c r="H92" s="2"/>
      <c r="I92" s="2"/>
      <c r="J92" s="2"/>
      <c r="K92" s="2"/>
    </row>
    <row r="93" spans="1:11">
      <c r="A93" s="92"/>
      <c r="B93" s="2"/>
      <c r="C93" s="2"/>
      <c r="D93" s="2"/>
      <c r="E93" s="2"/>
      <c r="F93" s="2"/>
      <c r="H93" s="2"/>
      <c r="I93" s="2"/>
      <c r="J93" s="2"/>
      <c r="K93" s="2"/>
    </row>
    <row r="94" spans="1:11">
      <c r="A94" s="92"/>
      <c r="B94" s="2"/>
      <c r="C94" s="2"/>
      <c r="D94" s="2"/>
      <c r="E94" s="2"/>
      <c r="F94" s="2"/>
      <c r="H94" s="2"/>
      <c r="I94" s="2"/>
      <c r="J94" s="2"/>
      <c r="K94" s="2"/>
    </row>
    <row r="95" spans="1:11">
      <c r="A95" s="92"/>
      <c r="B95" s="2"/>
      <c r="C95" s="2"/>
      <c r="D95" s="2"/>
      <c r="E95" s="2"/>
      <c r="F95" s="2"/>
      <c r="H95" s="2"/>
      <c r="I95" s="2"/>
      <c r="J95" s="2"/>
      <c r="K95" s="2"/>
    </row>
    <row r="96" spans="1:11">
      <c r="A96" s="92"/>
      <c r="B96" s="2"/>
      <c r="C96" s="2"/>
      <c r="D96" s="2"/>
      <c r="E96" s="2"/>
      <c r="F96" s="2"/>
      <c r="H96" s="2"/>
      <c r="I96" s="2"/>
      <c r="J96" s="2"/>
      <c r="K96" s="2"/>
    </row>
    <row r="97" spans="1:11">
      <c r="A97" s="92"/>
      <c r="B97" s="2"/>
      <c r="C97" s="2"/>
      <c r="D97" s="2"/>
      <c r="E97" s="2"/>
      <c r="F97" s="2"/>
      <c r="H97" s="2"/>
      <c r="I97" s="2"/>
      <c r="J97" s="2"/>
      <c r="K97" s="2"/>
    </row>
    <row r="98" spans="1:11">
      <c r="A98" s="92"/>
      <c r="B98" s="2"/>
      <c r="C98" s="2"/>
      <c r="D98" s="2"/>
      <c r="E98" s="2"/>
      <c r="F98" s="2"/>
      <c r="H98" s="2"/>
      <c r="I98" s="2"/>
      <c r="J98" s="2"/>
      <c r="K98" s="2"/>
    </row>
    <row r="99" spans="1:11">
      <c r="A99" s="92"/>
      <c r="B99" s="2"/>
      <c r="C99" s="2"/>
      <c r="D99" s="2"/>
      <c r="E99" s="2"/>
      <c r="F99" s="2"/>
      <c r="H99" s="2"/>
      <c r="I99" s="2"/>
      <c r="J99" s="2"/>
      <c r="K99" s="2"/>
    </row>
    <row r="100" spans="1:11">
      <c r="A100" s="92"/>
      <c r="B100" s="2"/>
      <c r="C100" s="2"/>
      <c r="D100" s="2"/>
      <c r="E100" s="2"/>
      <c r="F100" s="2"/>
      <c r="H100" s="2"/>
      <c r="I100" s="2"/>
      <c r="J100" s="2"/>
      <c r="K100" s="2"/>
    </row>
    <row r="101" spans="1:11">
      <c r="A101" s="92"/>
      <c r="B101" s="2"/>
      <c r="C101" s="2"/>
      <c r="D101" s="2"/>
      <c r="E101" s="2"/>
      <c r="F101" s="2"/>
      <c r="H101" s="2"/>
      <c r="I101" s="2"/>
      <c r="J101" s="2"/>
      <c r="K101" s="2"/>
    </row>
    <row r="102" spans="1:11">
      <c r="A102" s="92"/>
      <c r="B102" s="2"/>
      <c r="C102" s="2"/>
      <c r="D102" s="2"/>
      <c r="E102" s="2"/>
      <c r="F102" s="2"/>
      <c r="H102" s="2"/>
      <c r="I102" s="2"/>
      <c r="J102" s="2"/>
      <c r="K102" s="2"/>
    </row>
    <row r="103" spans="1:11">
      <c r="A103" s="92"/>
      <c r="B103" s="2"/>
      <c r="C103" s="2"/>
      <c r="D103" s="2"/>
      <c r="E103" s="2"/>
      <c r="F103" s="2"/>
      <c r="H103" s="2"/>
      <c r="I103" s="2"/>
      <c r="J103" s="2"/>
      <c r="K103" s="2"/>
    </row>
    <row r="104" spans="1:11">
      <c r="A104" s="92"/>
      <c r="B104" s="2"/>
      <c r="C104" s="2"/>
      <c r="D104" s="2"/>
      <c r="E104" s="2"/>
      <c r="F104" s="2"/>
      <c r="H104" s="2"/>
      <c r="I104" s="2"/>
      <c r="J104" s="2"/>
      <c r="K104" s="2"/>
    </row>
    <row r="105" spans="1:11">
      <c r="A105" s="92"/>
      <c r="B105" s="2"/>
      <c r="C105" s="2"/>
      <c r="D105" s="2"/>
      <c r="E105" s="2"/>
      <c r="F105" s="2"/>
      <c r="H105" s="2"/>
      <c r="I105" s="2"/>
      <c r="J105" s="2"/>
      <c r="K105" s="2"/>
    </row>
    <row r="106" spans="1:11">
      <c r="A106" s="92"/>
      <c r="B106" s="2"/>
      <c r="C106" s="2"/>
      <c r="D106" s="2"/>
      <c r="E106" s="2"/>
      <c r="F106" s="2"/>
      <c r="H106" s="2"/>
      <c r="I106" s="2"/>
      <c r="J106" s="2"/>
      <c r="K106" s="2"/>
    </row>
    <row r="107" spans="1:11">
      <c r="A107" s="92"/>
      <c r="B107" s="2"/>
      <c r="C107" s="2"/>
      <c r="D107" s="2"/>
      <c r="E107" s="2"/>
      <c r="F107" s="2"/>
      <c r="H107" s="2"/>
      <c r="I107" s="2"/>
      <c r="J107" s="2"/>
      <c r="K107" s="2"/>
    </row>
    <row r="108" spans="1:11">
      <c r="A108" s="92"/>
      <c r="B108" s="2"/>
      <c r="C108" s="2"/>
      <c r="D108" s="2"/>
      <c r="E108" s="2"/>
      <c r="F108" s="2"/>
      <c r="H108" s="2"/>
      <c r="I108" s="2"/>
      <c r="J108" s="2"/>
      <c r="K108" s="2"/>
    </row>
    <row r="109" spans="1:11">
      <c r="A109" s="92"/>
      <c r="B109" s="2"/>
      <c r="C109" s="2"/>
      <c r="D109" s="2"/>
      <c r="E109" s="2"/>
      <c r="F109" s="2"/>
      <c r="H109" s="2"/>
      <c r="I109" s="2"/>
      <c r="J109" s="2"/>
      <c r="K109" s="2"/>
    </row>
    <row r="110" spans="1:11">
      <c r="A110" s="92"/>
      <c r="B110" s="2"/>
      <c r="C110" s="2"/>
      <c r="D110" s="2"/>
      <c r="E110" s="2"/>
      <c r="F110" s="2"/>
      <c r="H110" s="2"/>
      <c r="I110" s="2"/>
      <c r="J110" s="2"/>
      <c r="K110" s="2"/>
    </row>
    <row r="111" spans="1:11">
      <c r="A111" s="92"/>
      <c r="B111" s="2"/>
      <c r="C111" s="2"/>
      <c r="D111" s="2"/>
      <c r="E111" s="2"/>
      <c r="F111" s="2"/>
      <c r="H111" s="2"/>
      <c r="I111" s="2"/>
      <c r="J111" s="2"/>
      <c r="K111" s="2"/>
    </row>
    <row r="112" spans="1:11">
      <c r="A112" s="92"/>
      <c r="B112" s="2"/>
      <c r="C112" s="2"/>
      <c r="D112" s="2"/>
      <c r="E112" s="2"/>
      <c r="F112" s="2"/>
      <c r="H112" s="2"/>
      <c r="I112" s="2"/>
      <c r="J112" s="2"/>
      <c r="K112" s="2"/>
    </row>
    <row r="113" spans="1:11">
      <c r="A113" s="92"/>
      <c r="B113" s="2"/>
      <c r="C113" s="2"/>
      <c r="D113" s="2"/>
      <c r="E113" s="2"/>
      <c r="F113" s="2"/>
      <c r="H113" s="2"/>
      <c r="I113" s="2"/>
      <c r="J113" s="2"/>
      <c r="K113" s="2"/>
    </row>
    <row r="114" spans="1:11">
      <c r="A114" s="92"/>
      <c r="B114" s="2"/>
      <c r="C114" s="2"/>
      <c r="D114" s="2"/>
      <c r="E114" s="2"/>
      <c r="F114" s="2"/>
      <c r="H114" s="2"/>
      <c r="I114" s="2"/>
      <c r="J114" s="2"/>
      <c r="K114" s="2"/>
    </row>
    <row r="115" spans="1:11">
      <c r="A115" s="92"/>
      <c r="B115" s="2"/>
      <c r="C115" s="2"/>
      <c r="D115" s="2"/>
      <c r="E115" s="2"/>
      <c r="F115" s="2"/>
      <c r="H115" s="2"/>
      <c r="I115" s="2"/>
      <c r="J115" s="2"/>
      <c r="K115" s="2"/>
    </row>
    <row r="116" spans="1:11">
      <c r="A116" s="92"/>
      <c r="B116" s="2"/>
      <c r="C116" s="2"/>
      <c r="D116" s="2"/>
      <c r="E116" s="2"/>
      <c r="F116" s="2"/>
      <c r="H116" s="2"/>
      <c r="I116" s="2"/>
      <c r="J116" s="2"/>
      <c r="K116" s="2"/>
    </row>
    <row r="117" spans="1:11">
      <c r="A117" s="92"/>
      <c r="B117" s="2"/>
      <c r="C117" s="2"/>
      <c r="D117" s="2"/>
      <c r="E117" s="2"/>
      <c r="F117" s="2"/>
      <c r="H117" s="2"/>
      <c r="I117" s="2"/>
      <c r="J117" s="2"/>
      <c r="K117" s="2"/>
    </row>
    <row r="118" spans="1:11">
      <c r="A118" s="92"/>
      <c r="B118" s="2"/>
      <c r="C118" s="2"/>
      <c r="D118" s="2"/>
      <c r="E118" s="2"/>
      <c r="F118" s="2"/>
      <c r="H118" s="2"/>
      <c r="I118" s="2"/>
      <c r="J118" s="2"/>
      <c r="K118" s="2"/>
    </row>
    <row r="119" spans="1:11">
      <c r="A119" s="92"/>
      <c r="B119" s="2"/>
      <c r="C119" s="2"/>
      <c r="D119" s="2"/>
      <c r="E119" s="2"/>
      <c r="F119" s="2"/>
      <c r="H119" s="2"/>
      <c r="I119" s="2"/>
      <c r="J119" s="2"/>
      <c r="K119" s="2"/>
    </row>
    <row r="120" spans="1:11">
      <c r="A120" s="92"/>
      <c r="B120" s="2"/>
      <c r="C120" s="2"/>
      <c r="D120" s="2"/>
      <c r="E120" s="2"/>
      <c r="F120" s="2"/>
      <c r="H120" s="2"/>
      <c r="I120" s="2"/>
      <c r="J120" s="2"/>
      <c r="K120" s="2"/>
    </row>
    <row r="121" spans="1:11">
      <c r="A121" s="92"/>
      <c r="B121" s="2"/>
      <c r="C121" s="2"/>
      <c r="D121" s="2"/>
      <c r="E121" s="2"/>
      <c r="F121" s="2"/>
      <c r="H121" s="2"/>
      <c r="I121" s="2"/>
      <c r="J121" s="2"/>
      <c r="K121" s="2"/>
    </row>
    <row r="122" spans="1:11">
      <c r="A122" s="92"/>
      <c r="B122" s="2"/>
      <c r="C122" s="2"/>
      <c r="D122" s="2"/>
      <c r="E122" s="2"/>
      <c r="F122" s="2"/>
      <c r="H122" s="2"/>
      <c r="I122" s="2"/>
      <c r="J122" s="2"/>
      <c r="K122" s="2"/>
    </row>
    <row r="123" spans="1:11">
      <c r="A123" s="92"/>
      <c r="B123" s="2"/>
      <c r="C123" s="2"/>
      <c r="D123" s="2"/>
      <c r="E123" s="2"/>
      <c r="F123" s="2"/>
      <c r="H123" s="2"/>
      <c r="I123" s="2"/>
      <c r="J123" s="2"/>
      <c r="K123" s="2"/>
    </row>
    <row r="124" spans="1:11">
      <c r="A124" s="92"/>
      <c r="B124" s="2"/>
      <c r="C124" s="2"/>
      <c r="D124" s="2"/>
      <c r="E124" s="2"/>
      <c r="F124" s="2"/>
      <c r="H124" s="2"/>
      <c r="I124" s="2"/>
      <c r="J124" s="2"/>
      <c r="K124" s="2"/>
    </row>
    <row r="125" spans="1:11">
      <c r="A125" s="92"/>
      <c r="B125" s="2"/>
      <c r="C125" s="2"/>
      <c r="D125" s="2"/>
      <c r="E125" s="2"/>
      <c r="F125" s="2"/>
      <c r="H125" s="2"/>
      <c r="I125" s="2"/>
      <c r="J125" s="2"/>
      <c r="K125" s="2"/>
    </row>
    <row r="126" spans="1:11">
      <c r="A126" s="92"/>
      <c r="B126" s="2"/>
      <c r="C126" s="2"/>
      <c r="D126" s="2"/>
      <c r="E126" s="2"/>
      <c r="F126" s="2"/>
      <c r="H126" s="2"/>
      <c r="I126" s="2"/>
      <c r="J126" s="2"/>
      <c r="K126" s="2"/>
    </row>
    <row r="127" spans="1:11">
      <c r="A127" s="92"/>
      <c r="B127" s="2"/>
      <c r="C127" s="2"/>
      <c r="D127" s="2"/>
      <c r="E127" s="2"/>
      <c r="F127" s="2"/>
      <c r="H127" s="2"/>
      <c r="I127" s="2"/>
      <c r="J127" s="2"/>
      <c r="K127" s="2"/>
    </row>
    <row r="128" spans="1:11">
      <c r="A128" s="92"/>
      <c r="B128" s="2"/>
      <c r="C128" s="2"/>
      <c r="D128" s="2"/>
      <c r="E128" s="2"/>
      <c r="F128" s="2"/>
      <c r="H128" s="2"/>
      <c r="I128" s="2"/>
      <c r="J128" s="2"/>
      <c r="K128" s="2"/>
    </row>
    <row r="129" spans="1:11">
      <c r="A129" s="92"/>
      <c r="B129" s="2"/>
      <c r="C129" s="2"/>
      <c r="D129" s="2"/>
      <c r="E129" s="2"/>
      <c r="F129" s="2"/>
      <c r="H129" s="2"/>
      <c r="I129" s="2"/>
      <c r="J129" s="2"/>
      <c r="K129" s="2"/>
    </row>
    <row r="130" spans="1:11">
      <c r="A130" s="92"/>
      <c r="B130" s="2"/>
      <c r="C130" s="2"/>
      <c r="D130" s="2"/>
      <c r="E130" s="2"/>
      <c r="F130" s="2"/>
      <c r="H130" s="2"/>
      <c r="I130" s="2"/>
      <c r="J130" s="2"/>
      <c r="K130" s="2"/>
    </row>
    <row r="131" spans="1:11">
      <c r="A131" s="92"/>
      <c r="B131" s="2"/>
      <c r="C131" s="2"/>
      <c r="D131" s="2"/>
      <c r="E131" s="2"/>
      <c r="F131" s="2"/>
      <c r="H131" s="2"/>
      <c r="I131" s="2"/>
      <c r="J131" s="2"/>
      <c r="K131" s="2"/>
    </row>
    <row r="132" spans="1:11">
      <c r="A132" s="92"/>
      <c r="B132" s="2"/>
      <c r="C132" s="2"/>
      <c r="D132" s="2"/>
      <c r="E132" s="2"/>
      <c r="F132" s="2"/>
      <c r="H132" s="2"/>
      <c r="I132" s="2"/>
      <c r="J132" s="2"/>
      <c r="K132" s="2"/>
    </row>
    <row r="133" spans="1:11">
      <c r="A133" s="92"/>
      <c r="B133" s="2"/>
      <c r="C133" s="2"/>
      <c r="D133" s="2"/>
      <c r="E133" s="2"/>
      <c r="F133" s="2"/>
      <c r="H133" s="2"/>
      <c r="I133" s="2"/>
      <c r="J133" s="2"/>
      <c r="K133" s="2"/>
    </row>
    <row r="134" spans="1:11">
      <c r="A134" s="92"/>
      <c r="B134" s="2"/>
      <c r="C134" s="2"/>
      <c r="D134" s="2"/>
      <c r="E134" s="2"/>
      <c r="F134" s="2"/>
      <c r="H134" s="2"/>
      <c r="I134" s="2"/>
      <c r="J134" s="2"/>
      <c r="K134" s="2"/>
    </row>
    <row r="135" spans="1:11">
      <c r="A135" s="92"/>
      <c r="B135" s="2"/>
      <c r="C135" s="2"/>
      <c r="D135" s="2"/>
      <c r="E135" s="2"/>
      <c r="F135" s="2"/>
      <c r="H135" s="2"/>
      <c r="I135" s="2"/>
      <c r="J135" s="2"/>
      <c r="K135" s="2"/>
    </row>
    <row r="136" spans="1:11">
      <c r="A136" s="92"/>
      <c r="B136" s="2"/>
      <c r="C136" s="2"/>
      <c r="D136" s="2"/>
      <c r="E136" s="2"/>
      <c r="F136" s="2"/>
      <c r="H136" s="2"/>
      <c r="I136" s="2"/>
      <c r="J136" s="2"/>
      <c r="K136" s="2"/>
    </row>
    <row r="137" spans="1:11">
      <c r="A137" s="92"/>
      <c r="B137" s="2"/>
      <c r="C137" s="2"/>
      <c r="D137" s="2"/>
      <c r="E137" s="2"/>
      <c r="F137" s="2"/>
      <c r="H137" s="2"/>
      <c r="I137" s="2"/>
      <c r="J137" s="2"/>
      <c r="K137" s="2"/>
    </row>
    <row r="138" spans="1:11">
      <c r="A138" s="92"/>
      <c r="B138" s="2"/>
      <c r="C138" s="2"/>
      <c r="D138" s="2"/>
      <c r="E138" s="2"/>
      <c r="F138" s="2"/>
      <c r="H138" s="2"/>
      <c r="I138" s="2"/>
      <c r="J138" s="2"/>
      <c r="K138" s="2"/>
    </row>
    <row r="139" spans="1:11">
      <c r="A139" s="92"/>
      <c r="B139" s="2"/>
      <c r="C139" s="2"/>
      <c r="D139" s="2"/>
      <c r="E139" s="2"/>
      <c r="F139" s="2"/>
      <c r="H139" s="2"/>
      <c r="I139" s="2"/>
      <c r="J139" s="2"/>
      <c r="K139" s="2"/>
    </row>
    <row r="140" spans="1:11">
      <c r="A140" s="92"/>
      <c r="B140" s="2"/>
      <c r="C140" s="2"/>
      <c r="D140" s="2"/>
      <c r="E140" s="2"/>
      <c r="F140" s="2"/>
      <c r="H140" s="2"/>
      <c r="I140" s="2"/>
      <c r="J140" s="2"/>
      <c r="K140" s="2"/>
    </row>
  </sheetData>
  <mergeCells count="3">
    <mergeCell ref="A1:J1"/>
    <mergeCell ref="B2:J2"/>
    <mergeCell ref="B43:D43"/>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63"/>
  <sheetViews>
    <sheetView topLeftCell="A16" zoomScale="85" zoomScaleNormal="85" workbookViewId="0">
      <selection activeCell="G15" sqref="G15"/>
    </sheetView>
  </sheetViews>
  <sheetFormatPr baseColWidth="10" defaultColWidth="11.42578125" defaultRowHeight="16.5"/>
  <cols>
    <col min="1" max="2" width="3.42578125" style="99" customWidth="1"/>
    <col min="3" max="3" width="7.85546875" style="99" customWidth="1"/>
    <col min="4" max="4" width="15.42578125" style="99" customWidth="1"/>
    <col min="5" max="5" width="16.140625" style="168" customWidth="1"/>
    <col min="6" max="6" width="17.5703125" style="99" customWidth="1"/>
    <col min="7" max="7" width="73.28515625" style="99" customWidth="1"/>
    <col min="8" max="8" width="8.7109375" style="99" customWidth="1"/>
    <col min="9" max="9" width="18.85546875" style="99" customWidth="1"/>
    <col min="10" max="10" width="23.85546875" style="99" customWidth="1"/>
    <col min="11" max="11" width="30" style="99" customWidth="1"/>
    <col min="12" max="12" width="3.28515625" style="99" customWidth="1"/>
    <col min="13" max="13" width="2.7109375" style="99" customWidth="1"/>
    <col min="14" max="16384" width="11.42578125" style="99"/>
  </cols>
  <sheetData>
    <row r="1" spans="1:13" ht="17.25" thickBot="1">
      <c r="A1" s="97"/>
      <c r="B1" s="97"/>
      <c r="C1" s="97"/>
      <c r="D1" s="97"/>
      <c r="E1" s="98"/>
      <c r="F1" s="97"/>
      <c r="G1" s="97"/>
      <c r="H1" s="97"/>
      <c r="I1" s="97"/>
      <c r="J1" s="97"/>
      <c r="K1" s="97"/>
      <c r="L1" s="97"/>
      <c r="M1" s="97"/>
    </row>
    <row r="2" spans="1:13" ht="17.25" thickTop="1">
      <c r="A2" s="97"/>
      <c r="B2" s="100"/>
      <c r="C2" s="101"/>
      <c r="D2" s="101"/>
      <c r="E2" s="102"/>
      <c r="F2" s="101"/>
      <c r="G2" s="101"/>
      <c r="H2" s="101"/>
      <c r="I2" s="101"/>
      <c r="J2" s="101"/>
      <c r="K2" s="101"/>
      <c r="L2" s="103"/>
      <c r="M2" s="97"/>
    </row>
    <row r="3" spans="1:13" ht="26.25" customHeight="1">
      <c r="A3" s="97"/>
      <c r="B3" s="104"/>
      <c r="C3" s="533" t="s">
        <v>86</v>
      </c>
      <c r="D3" s="533"/>
      <c r="E3" s="533"/>
      <c r="F3" s="533"/>
      <c r="G3" s="97"/>
      <c r="H3" s="97"/>
      <c r="I3" s="97"/>
      <c r="J3" s="97"/>
      <c r="K3" s="97"/>
      <c r="L3" s="105"/>
      <c r="M3" s="97"/>
    </row>
    <row r="4" spans="1:13">
      <c r="A4" s="97"/>
      <c r="B4" s="104"/>
      <c r="C4" s="174" t="s">
        <v>54</v>
      </c>
      <c r="D4" s="175" t="s">
        <v>55</v>
      </c>
      <c r="E4" s="174" t="s">
        <v>56</v>
      </c>
      <c r="F4" s="175">
        <v>3</v>
      </c>
      <c r="G4" s="97"/>
      <c r="H4" s="97"/>
      <c r="I4" s="97"/>
      <c r="J4" s="97"/>
      <c r="K4" s="97"/>
      <c r="L4" s="105"/>
      <c r="M4" s="97"/>
    </row>
    <row r="5" spans="1:13">
      <c r="A5" s="97"/>
      <c r="B5" s="104"/>
      <c r="C5" s="534" t="s">
        <v>57</v>
      </c>
      <c r="D5" s="534"/>
      <c r="E5" s="534"/>
      <c r="F5" s="534"/>
      <c r="G5" s="534"/>
      <c r="H5" s="534"/>
      <c r="I5" s="534"/>
      <c r="J5" s="534"/>
      <c r="K5" s="534"/>
      <c r="L5" s="105"/>
      <c r="M5" s="97"/>
    </row>
    <row r="6" spans="1:13" ht="17.25" thickBot="1">
      <c r="A6" s="97"/>
      <c r="B6" s="104"/>
      <c r="C6" s="469" t="s">
        <v>87</v>
      </c>
      <c r="D6" s="469"/>
      <c r="E6" s="469"/>
      <c r="F6" s="469"/>
      <c r="G6" s="469"/>
      <c r="H6" s="469"/>
      <c r="I6" s="469"/>
      <c r="J6" s="469"/>
      <c r="K6" s="469"/>
      <c r="L6" s="105"/>
      <c r="M6" s="97"/>
    </row>
    <row r="7" spans="1:13" s="172" customFormat="1" ht="16.5" customHeight="1">
      <c r="A7" s="106"/>
      <c r="B7" s="171"/>
      <c r="C7" s="535" t="s">
        <v>88</v>
      </c>
      <c r="D7" s="536"/>
      <c r="E7" s="536"/>
      <c r="F7" s="536"/>
      <c r="G7" s="536"/>
      <c r="H7" s="536"/>
      <c r="I7" s="536"/>
      <c r="J7" s="536"/>
      <c r="K7" s="537"/>
      <c r="L7" s="107"/>
      <c r="M7" s="106"/>
    </row>
    <row r="8" spans="1:13" ht="33.75" customHeight="1" thickBot="1">
      <c r="A8" s="97"/>
      <c r="B8" s="173"/>
      <c r="C8" s="538"/>
      <c r="D8" s="539"/>
      <c r="E8" s="539"/>
      <c r="F8" s="539"/>
      <c r="G8" s="539"/>
      <c r="H8" s="539"/>
      <c r="I8" s="539"/>
      <c r="J8" s="539"/>
      <c r="K8" s="540"/>
      <c r="L8" s="105"/>
      <c r="M8" s="97"/>
    </row>
    <row r="9" spans="1:13" ht="34.5" customHeight="1">
      <c r="A9" s="97"/>
      <c r="B9" s="173"/>
      <c r="C9" s="541" t="s">
        <v>89</v>
      </c>
      <c r="D9" s="542"/>
      <c r="E9" s="542"/>
      <c r="F9" s="542"/>
      <c r="G9" s="542"/>
      <c r="H9" s="542"/>
      <c r="I9" s="542"/>
      <c r="J9" s="542"/>
      <c r="K9" s="543"/>
      <c r="L9" s="105"/>
      <c r="M9" s="97"/>
    </row>
    <row r="10" spans="1:13" ht="30" customHeight="1" thickBot="1">
      <c r="A10" s="97"/>
      <c r="B10" s="173"/>
      <c r="C10" s="528"/>
      <c r="D10" s="528"/>
      <c r="E10" s="528"/>
      <c r="F10" s="528"/>
      <c r="G10" s="528"/>
      <c r="H10" s="528"/>
      <c r="I10" s="528"/>
      <c r="J10" s="528"/>
      <c r="K10" s="529"/>
      <c r="L10" s="105"/>
      <c r="M10" s="97"/>
    </row>
    <row r="11" spans="1:13" ht="30" customHeight="1">
      <c r="A11" s="97"/>
      <c r="B11" s="104"/>
      <c r="C11" s="522" t="s">
        <v>85</v>
      </c>
      <c r="D11" s="524" t="s">
        <v>90</v>
      </c>
      <c r="E11" s="532" t="s">
        <v>61</v>
      </c>
      <c r="F11" s="532"/>
      <c r="G11" s="522" t="s">
        <v>91</v>
      </c>
      <c r="H11" s="524" t="s">
        <v>62</v>
      </c>
      <c r="I11" s="524" t="s">
        <v>3</v>
      </c>
      <c r="J11" s="526" t="s">
        <v>2</v>
      </c>
      <c r="K11" s="530" t="s">
        <v>63</v>
      </c>
      <c r="L11" s="105"/>
      <c r="M11" s="97"/>
    </row>
    <row r="12" spans="1:13" ht="30" customHeight="1" thickBot="1">
      <c r="A12" s="97"/>
      <c r="B12" s="104"/>
      <c r="C12" s="523"/>
      <c r="D12" s="525"/>
      <c r="E12" s="176" t="s">
        <v>64</v>
      </c>
      <c r="F12" s="176" t="s">
        <v>65</v>
      </c>
      <c r="G12" s="523"/>
      <c r="H12" s="525"/>
      <c r="I12" s="525"/>
      <c r="J12" s="527"/>
      <c r="K12" s="531"/>
      <c r="L12" s="105"/>
      <c r="M12" s="97"/>
    </row>
    <row r="13" spans="1:13" ht="30" customHeight="1" thickBot="1">
      <c r="A13" s="97"/>
      <c r="B13" s="104"/>
      <c r="C13" s="177"/>
      <c r="D13" s="178"/>
      <c r="E13" s="178"/>
      <c r="F13" s="178"/>
      <c r="G13" s="178"/>
      <c r="H13" s="178"/>
      <c r="I13" s="178"/>
      <c r="J13" s="178"/>
      <c r="K13" s="179"/>
      <c r="L13" s="105"/>
      <c r="M13" s="97"/>
    </row>
    <row r="14" spans="1:13" ht="30" customHeight="1">
      <c r="A14" s="97"/>
      <c r="B14" s="104"/>
      <c r="C14" s="180"/>
      <c r="D14" s="181"/>
      <c r="E14" s="181"/>
      <c r="F14" s="181"/>
      <c r="G14" s="182"/>
      <c r="H14" s="181"/>
      <c r="I14" s="183"/>
      <c r="J14" s="184"/>
      <c r="K14" s="185"/>
      <c r="L14" s="105"/>
      <c r="M14" s="97"/>
    </row>
    <row r="15" spans="1:13" ht="30" customHeight="1" thickBot="1">
      <c r="A15" s="97"/>
      <c r="B15" s="104"/>
      <c r="C15" s="186" t="s">
        <v>66</v>
      </c>
      <c r="D15" s="187"/>
      <c r="E15" s="187"/>
      <c r="F15" s="187"/>
      <c r="G15" s="188"/>
      <c r="H15" s="187"/>
      <c r="I15" s="183"/>
      <c r="J15" s="189"/>
      <c r="K15" s="190"/>
      <c r="L15" s="105"/>
      <c r="M15" s="97"/>
    </row>
    <row r="16" spans="1:13" ht="30" customHeight="1" thickBot="1">
      <c r="A16" s="97"/>
      <c r="B16" s="104"/>
      <c r="C16" s="177"/>
      <c r="D16" s="178"/>
      <c r="E16" s="178"/>
      <c r="F16" s="178"/>
      <c r="G16" s="178"/>
      <c r="H16" s="178"/>
      <c r="I16" s="178"/>
      <c r="J16" s="178"/>
      <c r="K16" s="179"/>
      <c r="L16" s="105"/>
      <c r="M16" s="97"/>
    </row>
    <row r="17" spans="1:13" ht="30" customHeight="1">
      <c r="A17" s="97"/>
      <c r="B17" s="104"/>
      <c r="C17" s="180"/>
      <c r="D17" s="181"/>
      <c r="E17" s="181"/>
      <c r="F17" s="181"/>
      <c r="G17" s="191"/>
      <c r="H17" s="181"/>
      <c r="I17" s="183"/>
      <c r="J17" s="184"/>
      <c r="K17" s="192"/>
      <c r="L17" s="105"/>
      <c r="M17" s="97"/>
    </row>
    <row r="18" spans="1:13" ht="30" customHeight="1">
      <c r="A18" s="97"/>
      <c r="B18" s="104"/>
      <c r="C18" s="180"/>
      <c r="D18" s="181"/>
      <c r="E18" s="181"/>
      <c r="F18" s="181"/>
      <c r="G18" s="191"/>
      <c r="H18" s="181"/>
      <c r="I18" s="183"/>
      <c r="J18" s="184"/>
      <c r="K18" s="192"/>
      <c r="L18" s="105"/>
      <c r="M18" s="97"/>
    </row>
    <row r="19" spans="1:13" s="97" customFormat="1" ht="30" customHeight="1">
      <c r="B19" s="104"/>
      <c r="C19" s="180"/>
      <c r="D19" s="193"/>
      <c r="E19" s="193"/>
      <c r="F19" s="193"/>
      <c r="G19" s="194"/>
      <c r="H19" s="193"/>
      <c r="I19" s="183"/>
      <c r="J19" s="184"/>
      <c r="K19" s="192"/>
      <c r="L19" s="105"/>
    </row>
    <row r="20" spans="1:13" ht="30" customHeight="1">
      <c r="B20" s="118"/>
      <c r="C20" s="180"/>
      <c r="D20" s="181"/>
      <c r="E20" s="181"/>
      <c r="F20" s="181"/>
      <c r="G20" s="191"/>
      <c r="H20" s="181"/>
      <c r="I20" s="183"/>
      <c r="J20" s="184"/>
      <c r="K20" s="192"/>
      <c r="L20" s="119"/>
    </row>
    <row r="21" spans="1:13" ht="30" customHeight="1" thickBot="1">
      <c r="A21" s="97"/>
      <c r="B21" s="104"/>
      <c r="C21" s="186" t="s">
        <v>66</v>
      </c>
      <c r="D21" s="195"/>
      <c r="E21" s="196"/>
      <c r="F21" s="195"/>
      <c r="G21" s="195"/>
      <c r="H21" s="195"/>
      <c r="I21" s="183"/>
      <c r="J21" s="195"/>
      <c r="K21" s="190"/>
      <c r="L21" s="105"/>
      <c r="M21" s="97"/>
    </row>
    <row r="22" spans="1:13" ht="30" customHeight="1" thickBot="1">
      <c r="A22" s="97"/>
      <c r="B22" s="104"/>
      <c r="C22" s="177"/>
      <c r="D22" s="178"/>
      <c r="E22" s="178"/>
      <c r="F22" s="178"/>
      <c r="G22" s="178"/>
      <c r="H22" s="178"/>
      <c r="I22" s="178"/>
      <c r="J22" s="178"/>
      <c r="K22" s="179"/>
      <c r="L22" s="105"/>
      <c r="M22" s="97"/>
    </row>
    <row r="23" spans="1:13" ht="30" customHeight="1">
      <c r="A23" s="97"/>
      <c r="B23" s="104"/>
      <c r="C23" s="180"/>
      <c r="D23" s="197"/>
      <c r="E23" s="197"/>
      <c r="F23" s="197"/>
      <c r="G23" s="198"/>
      <c r="H23" s="197"/>
      <c r="I23" s="183"/>
      <c r="J23" s="184"/>
      <c r="K23" s="192"/>
      <c r="L23" s="105"/>
      <c r="M23" s="97"/>
    </row>
    <row r="24" spans="1:13" ht="30" customHeight="1">
      <c r="A24" s="97"/>
      <c r="B24" s="104"/>
      <c r="C24" s="180"/>
      <c r="D24" s="181"/>
      <c r="E24" s="181"/>
      <c r="F24" s="181"/>
      <c r="G24" s="198"/>
      <c r="H24" s="197"/>
      <c r="I24" s="183"/>
      <c r="J24" s="184"/>
      <c r="K24" s="192"/>
      <c r="L24" s="105"/>
      <c r="M24" s="97"/>
    </row>
    <row r="25" spans="1:13" ht="30" customHeight="1">
      <c r="A25" s="97"/>
      <c r="B25" s="104"/>
      <c r="C25" s="180"/>
      <c r="D25" s="197"/>
      <c r="E25" s="197"/>
      <c r="F25" s="197"/>
      <c r="G25" s="198"/>
      <c r="H25" s="197"/>
      <c r="I25" s="183"/>
      <c r="J25" s="184"/>
      <c r="K25" s="192"/>
      <c r="L25" s="105"/>
      <c r="M25" s="97"/>
    </row>
    <row r="26" spans="1:13" s="97" customFormat="1" ht="30" customHeight="1">
      <c r="B26" s="104"/>
      <c r="C26" s="180"/>
      <c r="D26" s="193"/>
      <c r="E26" s="193"/>
      <c r="F26" s="193"/>
      <c r="G26" s="199"/>
      <c r="H26" s="193"/>
      <c r="I26" s="183"/>
      <c r="J26" s="184"/>
      <c r="K26" s="192"/>
      <c r="L26" s="105"/>
    </row>
    <row r="27" spans="1:13" ht="30" customHeight="1">
      <c r="A27" s="97"/>
      <c r="B27" s="104"/>
      <c r="C27" s="180"/>
      <c r="D27" s="197"/>
      <c r="E27" s="197"/>
      <c r="F27" s="197"/>
      <c r="G27" s="198"/>
      <c r="H27" s="197"/>
      <c r="I27" s="183"/>
      <c r="J27" s="200"/>
      <c r="K27" s="192"/>
      <c r="L27" s="105"/>
      <c r="M27" s="97"/>
    </row>
    <row r="28" spans="1:13" s="97" customFormat="1" ht="30" customHeight="1">
      <c r="B28" s="104"/>
      <c r="C28" s="201"/>
      <c r="D28" s="193"/>
      <c r="E28" s="193"/>
      <c r="F28" s="193"/>
      <c r="G28" s="199"/>
      <c r="H28" s="193"/>
      <c r="I28" s="183"/>
      <c r="J28" s="200"/>
      <c r="K28" s="192"/>
      <c r="L28" s="105"/>
    </row>
    <row r="29" spans="1:13" ht="30" customHeight="1">
      <c r="A29" s="97"/>
      <c r="B29" s="104"/>
      <c r="C29" s="180"/>
      <c r="D29" s="197"/>
      <c r="E29" s="181"/>
      <c r="F29" s="197"/>
      <c r="G29" s="198"/>
      <c r="H29" s="197"/>
      <c r="I29" s="183"/>
      <c r="J29" s="184"/>
      <c r="K29" s="192"/>
      <c r="L29" s="105"/>
      <c r="M29" s="97"/>
    </row>
    <row r="30" spans="1:13" ht="30" customHeight="1">
      <c r="A30" s="97"/>
      <c r="B30" s="104"/>
      <c r="C30" s="180"/>
      <c r="D30" s="197"/>
      <c r="E30" s="197"/>
      <c r="F30" s="197"/>
      <c r="G30" s="198"/>
      <c r="H30" s="202"/>
      <c r="I30" s="183"/>
      <c r="J30" s="184"/>
      <c r="K30" s="192"/>
      <c r="L30" s="105"/>
      <c r="M30" s="97"/>
    </row>
    <row r="31" spans="1:13" ht="30" customHeight="1" thickBot="1">
      <c r="A31" s="97"/>
      <c r="B31" s="104"/>
      <c r="C31" s="203" t="s">
        <v>66</v>
      </c>
      <c r="D31" s="204"/>
      <c r="E31" s="204"/>
      <c r="F31" s="204"/>
      <c r="G31" s="205"/>
      <c r="H31" s="204"/>
      <c r="I31" s="183"/>
      <c r="J31" s="206"/>
      <c r="K31" s="207"/>
      <c r="L31" s="105"/>
      <c r="M31" s="97"/>
    </row>
    <row r="32" spans="1:13" ht="30" customHeight="1" thickBot="1">
      <c r="A32" s="97"/>
      <c r="B32" s="104"/>
      <c r="C32" s="177"/>
      <c r="D32" s="178"/>
      <c r="E32" s="178"/>
      <c r="F32" s="178"/>
      <c r="G32" s="178"/>
      <c r="H32" s="178"/>
      <c r="I32" s="178"/>
      <c r="J32" s="178"/>
      <c r="K32" s="179"/>
      <c r="L32" s="105"/>
      <c r="M32" s="97"/>
    </row>
    <row r="33" spans="1:13" ht="30" customHeight="1">
      <c r="A33" s="97"/>
      <c r="B33" s="104"/>
      <c r="C33" s="180"/>
      <c r="D33" s="197"/>
      <c r="E33" s="197"/>
      <c r="F33" s="197"/>
      <c r="G33" s="198"/>
      <c r="H33" s="197"/>
      <c r="I33" s="183"/>
      <c r="J33" s="184"/>
      <c r="K33" s="192"/>
      <c r="L33" s="105"/>
      <c r="M33" s="97"/>
    </row>
    <row r="34" spans="1:13" ht="30" customHeight="1">
      <c r="A34" s="97"/>
      <c r="B34" s="104"/>
      <c r="C34" s="180"/>
      <c r="D34" s="197"/>
      <c r="E34" s="197"/>
      <c r="F34" s="197"/>
      <c r="G34" s="198"/>
      <c r="H34" s="197"/>
      <c r="I34" s="183"/>
      <c r="J34" s="184"/>
      <c r="K34" s="192"/>
      <c r="L34" s="105"/>
      <c r="M34" s="97"/>
    </row>
    <row r="35" spans="1:13" ht="30" customHeight="1">
      <c r="A35" s="97"/>
      <c r="B35" s="104"/>
      <c r="C35" s="208"/>
      <c r="D35" s="197"/>
      <c r="E35" s="197"/>
      <c r="F35" s="197"/>
      <c r="G35" s="198"/>
      <c r="H35" s="197"/>
      <c r="I35" s="183"/>
      <c r="J35" s="184"/>
      <c r="K35" s="192"/>
      <c r="L35" s="105"/>
      <c r="M35" s="97"/>
    </row>
    <row r="36" spans="1:13" ht="30" customHeight="1" thickBot="1">
      <c r="A36" s="97"/>
      <c r="B36" s="104"/>
      <c r="C36" s="186" t="s">
        <v>66</v>
      </c>
      <c r="D36" s="209"/>
      <c r="E36" s="209"/>
      <c r="F36" s="209"/>
      <c r="G36" s="210"/>
      <c r="H36" s="211"/>
      <c r="I36" s="183"/>
      <c r="J36" s="189"/>
      <c r="K36" s="190"/>
      <c r="L36" s="105"/>
      <c r="M36" s="97"/>
    </row>
    <row r="37" spans="1:13" ht="30" customHeight="1" thickBot="1">
      <c r="A37" s="97"/>
      <c r="B37" s="104"/>
      <c r="C37" s="177"/>
      <c r="D37" s="178"/>
      <c r="E37" s="178"/>
      <c r="F37" s="178"/>
      <c r="G37" s="178"/>
      <c r="H37" s="178"/>
      <c r="I37" s="178"/>
      <c r="J37" s="178"/>
      <c r="K37" s="179"/>
      <c r="L37" s="105"/>
      <c r="M37" s="97"/>
    </row>
    <row r="38" spans="1:13" ht="30" customHeight="1">
      <c r="A38" s="97"/>
      <c r="B38" s="104"/>
      <c r="C38" s="180"/>
      <c r="D38" s="197"/>
      <c r="E38" s="197"/>
      <c r="F38" s="197"/>
      <c r="G38" s="198"/>
      <c r="H38" s="197"/>
      <c r="I38" s="183"/>
      <c r="J38" s="184"/>
      <c r="K38" s="192"/>
      <c r="L38" s="105"/>
      <c r="M38" s="97"/>
    </row>
    <row r="39" spans="1:13" ht="30" customHeight="1" thickBot="1">
      <c r="A39" s="97"/>
      <c r="B39" s="104"/>
      <c r="C39" s="186" t="s">
        <v>66</v>
      </c>
      <c r="D39" s="209"/>
      <c r="E39" s="209"/>
      <c r="F39" s="209"/>
      <c r="G39" s="212"/>
      <c r="H39" s="211"/>
      <c r="I39" s="183"/>
      <c r="J39" s="189"/>
      <c r="K39" s="190"/>
      <c r="L39" s="105"/>
      <c r="M39" s="97"/>
    </row>
    <row r="40" spans="1:13" s="139" customFormat="1" ht="30" customHeight="1" thickBot="1">
      <c r="A40" s="135"/>
      <c r="B40" s="136"/>
      <c r="C40" s="505" t="s">
        <v>67</v>
      </c>
      <c r="D40" s="506"/>
      <c r="E40" s="506"/>
      <c r="F40" s="506"/>
      <c r="G40" s="506"/>
      <c r="H40" s="506"/>
      <c r="I40" s="506"/>
      <c r="J40" s="507"/>
      <c r="K40" s="213"/>
      <c r="L40" s="138"/>
      <c r="M40" s="135"/>
    </row>
    <row r="41" spans="1:13" s="139" customFormat="1" thickBot="1">
      <c r="A41" s="135"/>
      <c r="B41" s="136"/>
      <c r="C41" s="214"/>
      <c r="D41" s="214"/>
      <c r="E41" s="214"/>
      <c r="F41" s="214"/>
      <c r="G41" s="214"/>
      <c r="H41" s="214"/>
      <c r="I41" s="214"/>
      <c r="J41" s="214"/>
      <c r="K41" s="215"/>
      <c r="L41" s="138"/>
      <c r="M41" s="135"/>
    </row>
    <row r="42" spans="1:13" s="139" customFormat="1" ht="30" customHeight="1">
      <c r="A42" s="135"/>
      <c r="B42" s="136"/>
      <c r="C42" s="216"/>
      <c r="D42" s="217"/>
      <c r="E42" s="216"/>
      <c r="F42" s="216"/>
      <c r="G42" s="508"/>
      <c r="H42" s="509"/>
      <c r="I42" s="510"/>
      <c r="J42" s="218"/>
      <c r="K42" s="219"/>
      <c r="L42" s="138"/>
      <c r="M42" s="135"/>
    </row>
    <row r="43" spans="1:13" s="139" customFormat="1" ht="30" customHeight="1">
      <c r="A43" s="135"/>
      <c r="B43" s="136"/>
      <c r="C43" s="216"/>
      <c r="D43" s="217"/>
      <c r="E43" s="216"/>
      <c r="F43" s="216"/>
      <c r="G43" s="220"/>
      <c r="H43" s="221"/>
      <c r="I43" s="222"/>
      <c r="J43" s="223"/>
      <c r="K43" s="224"/>
      <c r="L43" s="138"/>
      <c r="M43" s="135"/>
    </row>
    <row r="44" spans="1:13" s="139" customFormat="1" ht="30" customHeight="1">
      <c r="A44" s="135"/>
      <c r="B44" s="136"/>
      <c r="C44" s="216"/>
      <c r="D44" s="225"/>
      <c r="E44" s="225"/>
      <c r="F44" s="225"/>
      <c r="G44" s="220"/>
      <c r="H44" s="226"/>
      <c r="I44" s="227"/>
      <c r="J44" s="228"/>
      <c r="K44" s="224"/>
      <c r="L44" s="138"/>
      <c r="M44" s="135"/>
    </row>
    <row r="45" spans="1:13" s="139" customFormat="1" ht="30" customHeight="1">
      <c r="A45" s="135"/>
      <c r="B45" s="136"/>
      <c r="C45" s="216"/>
      <c r="D45" s="225"/>
      <c r="E45" s="225"/>
      <c r="F45" s="225"/>
      <c r="G45" s="229" t="s">
        <v>68</v>
      </c>
      <c r="H45" s="226"/>
      <c r="I45" s="227"/>
      <c r="J45" s="228"/>
      <c r="K45" s="230"/>
      <c r="L45" s="138"/>
      <c r="M45" s="135"/>
    </row>
    <row r="46" spans="1:13" s="139" customFormat="1" ht="30" customHeight="1">
      <c r="A46" s="135"/>
      <c r="B46" s="136"/>
      <c r="C46" s="216"/>
      <c r="D46" s="217"/>
      <c r="E46" s="216"/>
      <c r="F46" s="216"/>
      <c r="G46" s="231"/>
      <c r="H46" s="226"/>
      <c r="I46" s="227"/>
      <c r="J46" s="232"/>
      <c r="K46" s="224"/>
      <c r="L46" s="138"/>
      <c r="M46" s="135"/>
    </row>
    <row r="47" spans="1:13" s="139" customFormat="1" ht="30" customHeight="1">
      <c r="A47" s="135"/>
      <c r="B47" s="136"/>
      <c r="C47" s="216"/>
      <c r="D47" s="217"/>
      <c r="E47" s="216"/>
      <c r="F47" s="216"/>
      <c r="G47" s="231"/>
      <c r="H47" s="226"/>
      <c r="I47" s="227"/>
      <c r="J47" s="232"/>
      <c r="K47" s="224"/>
      <c r="L47" s="138"/>
      <c r="M47" s="135"/>
    </row>
    <row r="48" spans="1:13" s="139" customFormat="1" ht="30" customHeight="1" thickBot="1">
      <c r="A48" s="135"/>
      <c r="B48" s="136"/>
      <c r="C48" s="216"/>
      <c r="D48" s="217"/>
      <c r="E48" s="216"/>
      <c r="F48" s="216"/>
      <c r="G48" s="233"/>
      <c r="H48" s="226"/>
      <c r="I48" s="227"/>
      <c r="J48" s="232"/>
      <c r="K48" s="230"/>
      <c r="L48" s="138"/>
      <c r="M48" s="135"/>
    </row>
    <row r="49" spans="1:13" s="139" customFormat="1" ht="30" customHeight="1" thickBot="1">
      <c r="A49" s="135"/>
      <c r="B49" s="136"/>
      <c r="C49" s="216"/>
      <c r="D49" s="217"/>
      <c r="E49" s="216"/>
      <c r="F49" s="216"/>
      <c r="G49" s="234" t="s">
        <v>4</v>
      </c>
      <c r="H49" s="235"/>
      <c r="I49" s="236"/>
      <c r="J49" s="237"/>
      <c r="K49" s="213"/>
      <c r="L49" s="138"/>
      <c r="M49" s="135"/>
    </row>
    <row r="50" spans="1:13" s="139" customFormat="1" thickBot="1">
      <c r="A50" s="135"/>
      <c r="B50" s="136"/>
      <c r="C50" s="216"/>
      <c r="D50" s="217"/>
      <c r="E50" s="217"/>
      <c r="F50" s="217"/>
      <c r="G50" s="216"/>
      <c r="H50" s="216"/>
      <c r="I50" s="238"/>
      <c r="J50" s="239"/>
      <c r="K50" s="240"/>
      <c r="L50" s="138"/>
      <c r="M50" s="135"/>
    </row>
    <row r="51" spans="1:13" s="139" customFormat="1" ht="15.75">
      <c r="A51" s="135"/>
      <c r="B51" s="136"/>
      <c r="C51" s="241"/>
      <c r="D51" s="511"/>
      <c r="E51" s="511"/>
      <c r="F51" s="511"/>
      <c r="G51" s="511"/>
      <c r="H51" s="511"/>
      <c r="I51" s="511"/>
      <c r="J51" s="511"/>
      <c r="K51" s="512"/>
      <c r="L51" s="242"/>
      <c r="M51" s="135"/>
    </row>
    <row r="52" spans="1:13" s="139" customFormat="1" ht="46.5" customHeight="1">
      <c r="A52" s="135"/>
      <c r="B52" s="136"/>
      <c r="C52" s="515" t="s">
        <v>69</v>
      </c>
      <c r="D52" s="516"/>
      <c r="E52" s="516"/>
      <c r="F52" s="516"/>
      <c r="G52" s="516"/>
      <c r="H52" s="521" t="s">
        <v>91</v>
      </c>
      <c r="I52" s="521"/>
      <c r="J52" s="521"/>
      <c r="K52" s="243" t="s">
        <v>29</v>
      </c>
      <c r="L52" s="160"/>
      <c r="M52" s="135"/>
    </row>
    <row r="53" spans="1:13" s="139" customFormat="1" ht="32.25" customHeight="1">
      <c r="A53" s="135"/>
      <c r="B53" s="136"/>
      <c r="C53" s="515" t="s">
        <v>92</v>
      </c>
      <c r="D53" s="516"/>
      <c r="E53" s="516"/>
      <c r="F53" s="516"/>
      <c r="G53" s="516"/>
      <c r="H53" s="517" t="s">
        <v>93</v>
      </c>
      <c r="I53" s="517"/>
      <c r="J53" s="244" t="s">
        <v>72</v>
      </c>
      <c r="K53" s="245" t="s">
        <v>94</v>
      </c>
      <c r="L53" s="246"/>
      <c r="M53" s="135"/>
    </row>
    <row r="54" spans="1:13" s="139" customFormat="1" ht="30" customHeight="1">
      <c r="A54" s="135"/>
      <c r="B54" s="136"/>
      <c r="C54" s="515" t="s">
        <v>73</v>
      </c>
      <c r="D54" s="516"/>
      <c r="E54" s="516"/>
      <c r="F54" s="516"/>
      <c r="G54" s="516"/>
      <c r="H54" s="518" t="s">
        <v>74</v>
      </c>
      <c r="I54" s="519"/>
      <c r="J54" s="244" t="s">
        <v>75</v>
      </c>
      <c r="K54" s="245" t="s">
        <v>94</v>
      </c>
      <c r="L54" s="160"/>
      <c r="M54" s="135"/>
    </row>
    <row r="55" spans="1:13" s="162" customFormat="1" ht="58.5" customHeight="1">
      <c r="A55" s="135"/>
      <c r="B55" s="136"/>
      <c r="C55" s="247"/>
      <c r="D55" s="248"/>
      <c r="E55" s="248"/>
      <c r="F55" s="248"/>
      <c r="G55" s="249"/>
      <c r="H55" s="520" t="s">
        <v>77</v>
      </c>
      <c r="I55" s="517"/>
      <c r="J55" s="244" t="s">
        <v>78</v>
      </c>
      <c r="K55" s="245" t="s">
        <v>94</v>
      </c>
      <c r="L55" s="138"/>
      <c r="M55" s="135"/>
    </row>
    <row r="56" spans="1:13" ht="57.75" customHeight="1">
      <c r="A56" s="97"/>
      <c r="B56" s="104"/>
      <c r="C56" s="250"/>
      <c r="D56" s="251"/>
      <c r="E56" s="251"/>
      <c r="F56" s="251"/>
      <c r="G56" s="252"/>
      <c r="H56" s="517" t="s">
        <v>80</v>
      </c>
      <c r="I56" s="517"/>
      <c r="J56" s="244" t="s">
        <v>81</v>
      </c>
      <c r="K56" s="245" t="s">
        <v>94</v>
      </c>
      <c r="L56" s="105"/>
      <c r="M56" s="97"/>
    </row>
    <row r="57" spans="1:13" ht="17.25" thickBot="1">
      <c r="A57" s="97"/>
      <c r="B57" s="104"/>
      <c r="C57" s="250"/>
      <c r="D57" s="253"/>
      <c r="E57" s="253"/>
      <c r="F57" s="251"/>
      <c r="G57" s="254"/>
      <c r="H57" s="513"/>
      <c r="I57" s="513"/>
      <c r="J57" s="513"/>
      <c r="K57" s="514"/>
      <c r="L57" s="105"/>
      <c r="M57" s="97"/>
    </row>
    <row r="58" spans="1:13" ht="47.25" customHeight="1">
      <c r="A58" s="97"/>
      <c r="B58" s="104"/>
      <c r="C58" s="255"/>
      <c r="D58" s="256"/>
      <c r="E58" s="256"/>
      <c r="F58" s="255"/>
      <c r="G58" s="256"/>
      <c r="H58" s="255"/>
      <c r="I58" s="255"/>
      <c r="J58" s="255"/>
      <c r="K58" s="255"/>
      <c r="L58" s="105"/>
      <c r="M58" s="97"/>
    </row>
    <row r="59" spans="1:13" ht="47.25" customHeight="1">
      <c r="A59" s="97"/>
      <c r="B59" s="104"/>
      <c r="C59" s="256"/>
      <c r="D59" s="256"/>
      <c r="E59" s="256"/>
      <c r="F59" s="256"/>
      <c r="G59" s="257" t="s">
        <v>95</v>
      </c>
      <c r="H59" s="256"/>
      <c r="I59" s="256"/>
      <c r="J59" s="256"/>
      <c r="K59" s="256"/>
      <c r="L59" s="105"/>
      <c r="M59" s="97"/>
    </row>
    <row r="60" spans="1:13" ht="17.25" thickBot="1">
      <c r="A60" s="97"/>
      <c r="B60" s="163"/>
      <c r="C60" s="164"/>
      <c r="D60" s="164"/>
      <c r="E60" s="165"/>
      <c r="F60" s="164"/>
      <c r="G60" s="166"/>
      <c r="H60" s="164"/>
      <c r="I60" s="164"/>
      <c r="J60" s="164"/>
      <c r="K60" s="164"/>
      <c r="L60" s="167"/>
      <c r="M60" s="97"/>
    </row>
    <row r="61" spans="1:13" ht="17.25" thickTop="1">
      <c r="A61" s="97"/>
      <c r="B61" s="97"/>
      <c r="C61" s="97"/>
      <c r="D61" s="97"/>
      <c r="E61" s="98"/>
      <c r="F61" s="97"/>
      <c r="G61" s="97"/>
      <c r="H61" s="97"/>
      <c r="I61" s="97"/>
      <c r="J61" s="97"/>
      <c r="K61" s="97"/>
      <c r="L61" s="97"/>
      <c r="M61" s="97"/>
    </row>
    <row r="63" spans="1:13">
      <c r="H63" s="258"/>
    </row>
  </sheetData>
  <mergeCells count="26">
    <mergeCell ref="C3:F3"/>
    <mergeCell ref="C5:K5"/>
    <mergeCell ref="C6:K6"/>
    <mergeCell ref="C7:K8"/>
    <mergeCell ref="C9:K9"/>
    <mergeCell ref="G11:G12"/>
    <mergeCell ref="H11:H12"/>
    <mergeCell ref="I11:I12"/>
    <mergeCell ref="J11:J12"/>
    <mergeCell ref="C10:K10"/>
    <mergeCell ref="K11:K12"/>
    <mergeCell ref="C11:C12"/>
    <mergeCell ref="D11:D12"/>
    <mergeCell ref="E11:F11"/>
    <mergeCell ref="C40:J40"/>
    <mergeCell ref="G42:I42"/>
    <mergeCell ref="D51:K51"/>
    <mergeCell ref="H57:K57"/>
    <mergeCell ref="C53:G53"/>
    <mergeCell ref="H53:I53"/>
    <mergeCell ref="C54:G54"/>
    <mergeCell ref="H54:I54"/>
    <mergeCell ref="H55:I55"/>
    <mergeCell ref="H56:I56"/>
    <mergeCell ref="C52:G52"/>
    <mergeCell ref="H52:J5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P94"/>
  <sheetViews>
    <sheetView zoomScale="85" zoomScaleNormal="85" workbookViewId="0">
      <selection activeCell="G16" sqref="G16"/>
    </sheetView>
  </sheetViews>
  <sheetFormatPr baseColWidth="10" defaultColWidth="11.42578125" defaultRowHeight="12.75"/>
  <cols>
    <col min="1" max="2" width="3.42578125" style="259" customWidth="1"/>
    <col min="3" max="3" width="12.5703125" style="259" customWidth="1"/>
    <col min="4" max="4" width="18" style="259" customWidth="1"/>
    <col min="5" max="11" width="11.42578125" style="259"/>
    <col min="12" max="12" width="17.5703125" style="259" customWidth="1"/>
    <col min="13" max="14" width="11.42578125" style="259"/>
    <col min="15" max="15" width="20" style="259" customWidth="1"/>
    <col min="16" max="17" width="3.42578125" style="259" customWidth="1"/>
    <col min="18" max="16384" width="11.42578125" style="259"/>
  </cols>
  <sheetData>
    <row r="1" spans="2:16" ht="13.5" thickBot="1"/>
    <row r="2" spans="2:16" ht="13.5" thickTop="1">
      <c r="B2" s="260"/>
      <c r="C2" s="261"/>
      <c r="D2" s="261"/>
      <c r="E2" s="261"/>
      <c r="F2" s="261"/>
      <c r="G2" s="261"/>
      <c r="H2" s="261"/>
      <c r="I2" s="261"/>
      <c r="J2" s="261"/>
      <c r="K2" s="261"/>
      <c r="L2" s="261"/>
      <c r="M2" s="261"/>
      <c r="N2" s="261"/>
      <c r="O2" s="261"/>
      <c r="P2" s="262"/>
    </row>
    <row r="3" spans="2:16" ht="36.75" customHeight="1">
      <c r="B3" s="263"/>
      <c r="C3" s="618" t="s">
        <v>86</v>
      </c>
      <c r="D3" s="618"/>
      <c r="E3" s="618"/>
      <c r="F3" s="618"/>
      <c r="P3" s="264"/>
    </row>
    <row r="4" spans="2:16">
      <c r="B4" s="263"/>
      <c r="C4" s="265" t="s">
        <v>54</v>
      </c>
      <c r="D4" s="266" t="s">
        <v>55</v>
      </c>
      <c r="E4" s="265" t="s">
        <v>56</v>
      </c>
      <c r="F4" s="266">
        <v>3</v>
      </c>
      <c r="P4" s="264"/>
    </row>
    <row r="5" spans="2:16">
      <c r="B5" s="263"/>
      <c r="C5" s="267"/>
      <c r="D5" s="268"/>
      <c r="E5" s="267"/>
      <c r="F5" s="268"/>
      <c r="P5" s="264"/>
    </row>
    <row r="6" spans="2:16" ht="48" customHeight="1">
      <c r="B6" s="263"/>
      <c r="C6" s="619" t="s">
        <v>96</v>
      </c>
      <c r="D6" s="619"/>
      <c r="E6" s="619"/>
      <c r="F6" s="619"/>
      <c r="G6" s="619"/>
      <c r="H6" s="619"/>
      <c r="I6" s="619"/>
      <c r="J6" s="619"/>
      <c r="K6" s="619"/>
      <c r="L6" s="619"/>
      <c r="M6" s="619"/>
      <c r="N6" s="619"/>
      <c r="O6" s="619"/>
      <c r="P6" s="269"/>
    </row>
    <row r="7" spans="2:16" ht="15" thickBot="1">
      <c r="B7" s="263"/>
      <c r="C7" s="270"/>
      <c r="D7" s="270"/>
      <c r="E7" s="270"/>
      <c r="F7" s="270"/>
      <c r="G7" s="270"/>
      <c r="H7" s="270"/>
      <c r="I7" s="270"/>
      <c r="J7" s="270"/>
      <c r="K7" s="270"/>
      <c r="L7" s="270"/>
      <c r="M7" s="270"/>
      <c r="N7" s="270"/>
      <c r="O7" s="270"/>
      <c r="P7" s="264"/>
    </row>
    <row r="8" spans="2:16" ht="15">
      <c r="B8" s="263"/>
      <c r="C8" s="620"/>
      <c r="D8" s="622"/>
      <c r="E8" s="623"/>
      <c r="F8" s="623"/>
      <c r="G8" s="623"/>
      <c r="H8" s="623"/>
      <c r="I8" s="623"/>
      <c r="J8" s="623"/>
      <c r="K8" s="624"/>
      <c r="L8" s="625"/>
      <c r="M8" s="626"/>
      <c r="N8" s="626"/>
      <c r="O8" s="627"/>
      <c r="P8" s="271"/>
    </row>
    <row r="9" spans="2:16" ht="15">
      <c r="B9" s="263"/>
      <c r="C9" s="621"/>
      <c r="D9" s="631" t="s">
        <v>97</v>
      </c>
      <c r="E9" s="632"/>
      <c r="F9" s="632"/>
      <c r="G9" s="632"/>
      <c r="H9" s="632"/>
      <c r="I9" s="632"/>
      <c r="J9" s="632"/>
      <c r="K9" s="633"/>
      <c r="L9" s="628"/>
      <c r="M9" s="629"/>
      <c r="N9" s="629"/>
      <c r="O9" s="630"/>
      <c r="P9" s="271"/>
    </row>
    <row r="10" spans="2:16" ht="15">
      <c r="B10" s="263"/>
      <c r="C10" s="621"/>
      <c r="D10" s="631"/>
      <c r="E10" s="632"/>
      <c r="F10" s="632"/>
      <c r="G10" s="632"/>
      <c r="H10" s="632"/>
      <c r="I10" s="632"/>
      <c r="J10" s="632"/>
      <c r="K10" s="633"/>
      <c r="L10" s="634" t="s">
        <v>98</v>
      </c>
      <c r="M10" s="636"/>
      <c r="N10" s="637"/>
      <c r="O10" s="638"/>
      <c r="P10" s="271"/>
    </row>
    <row r="11" spans="2:16" ht="15">
      <c r="B11" s="263"/>
      <c r="C11" s="621"/>
      <c r="D11" s="631" t="s">
        <v>99</v>
      </c>
      <c r="E11" s="632"/>
      <c r="F11" s="632"/>
      <c r="G11" s="632"/>
      <c r="H11" s="632"/>
      <c r="I11" s="632"/>
      <c r="J11" s="632"/>
      <c r="K11" s="633"/>
      <c r="L11" s="635"/>
      <c r="M11" s="639"/>
      <c r="N11" s="640"/>
      <c r="O11" s="641"/>
      <c r="P11" s="272"/>
    </row>
    <row r="12" spans="2:16" ht="12.75" customHeight="1">
      <c r="B12" s="263"/>
      <c r="C12" s="621"/>
      <c r="D12" s="642"/>
      <c r="E12" s="643"/>
      <c r="F12" s="643"/>
      <c r="G12" s="643"/>
      <c r="H12" s="643"/>
      <c r="I12" s="643"/>
      <c r="J12" s="643"/>
      <c r="K12" s="644"/>
      <c r="L12" s="634" t="s">
        <v>100</v>
      </c>
      <c r="M12" s="634">
        <v>1</v>
      </c>
      <c r="N12" s="634" t="s">
        <v>101</v>
      </c>
      <c r="O12" s="646">
        <v>1</v>
      </c>
      <c r="P12" s="271"/>
    </row>
    <row r="13" spans="2:16" ht="13.5">
      <c r="B13" s="263"/>
      <c r="C13" s="621"/>
      <c r="D13" s="642"/>
      <c r="E13" s="643"/>
      <c r="F13" s="643"/>
      <c r="G13" s="643"/>
      <c r="H13" s="643"/>
      <c r="I13" s="643"/>
      <c r="J13" s="643"/>
      <c r="K13" s="644"/>
      <c r="L13" s="645"/>
      <c r="M13" s="645"/>
      <c r="N13" s="645"/>
      <c r="O13" s="647"/>
      <c r="P13" s="271"/>
    </row>
    <row r="14" spans="2:16" ht="15">
      <c r="B14" s="263"/>
      <c r="C14" s="621"/>
      <c r="D14" s="631" t="s">
        <v>102</v>
      </c>
      <c r="E14" s="632"/>
      <c r="F14" s="632"/>
      <c r="G14" s="632"/>
      <c r="H14" s="632"/>
      <c r="I14" s="632"/>
      <c r="J14" s="632"/>
      <c r="K14" s="633"/>
      <c r="L14" s="645"/>
      <c r="M14" s="645"/>
      <c r="N14" s="645"/>
      <c r="O14" s="647"/>
      <c r="P14" s="271"/>
    </row>
    <row r="15" spans="2:16" ht="15.75" thickBot="1">
      <c r="B15" s="263"/>
      <c r="C15" s="273"/>
      <c r="D15" s="274"/>
      <c r="E15" s="274"/>
      <c r="F15" s="274"/>
      <c r="G15" s="274"/>
      <c r="H15" s="274"/>
      <c r="I15" s="274"/>
      <c r="J15" s="274"/>
      <c r="K15" s="274"/>
      <c r="L15" s="274"/>
      <c r="M15" s="275"/>
      <c r="N15" s="275"/>
      <c r="O15" s="276"/>
      <c r="P15" s="277"/>
    </row>
    <row r="16" spans="2:16" ht="15">
      <c r="B16" s="263"/>
      <c r="C16" s="278"/>
      <c r="D16" s="279"/>
      <c r="E16" s="279"/>
      <c r="F16" s="279"/>
      <c r="G16" s="279"/>
      <c r="H16" s="279"/>
      <c r="I16" s="279"/>
      <c r="J16" s="279"/>
      <c r="K16" s="279"/>
      <c r="L16" s="280" t="s">
        <v>103</v>
      </c>
      <c r="M16" s="281" t="s">
        <v>104</v>
      </c>
      <c r="N16" s="281" t="s">
        <v>105</v>
      </c>
      <c r="O16" s="282" t="s">
        <v>106</v>
      </c>
      <c r="P16" s="272"/>
    </row>
    <row r="17" spans="2:16" ht="15">
      <c r="B17" s="263"/>
      <c r="C17" s="283"/>
      <c r="D17" s="284"/>
      <c r="E17" s="284"/>
      <c r="F17" s="284"/>
      <c r="G17" s="284"/>
      <c r="H17" s="284"/>
      <c r="I17" s="284"/>
      <c r="J17" s="284"/>
      <c r="K17" s="284"/>
      <c r="L17" s="285"/>
      <c r="M17" s="286"/>
      <c r="N17" s="286"/>
      <c r="O17" s="287"/>
      <c r="P17" s="288"/>
    </row>
    <row r="18" spans="2:16" ht="18" customHeight="1">
      <c r="B18" s="263"/>
      <c r="C18" s="601" t="s">
        <v>107</v>
      </c>
      <c r="D18" s="602"/>
      <c r="E18" s="602"/>
      <c r="F18" s="602"/>
      <c r="G18" s="284"/>
      <c r="H18" s="284"/>
      <c r="I18" s="284" t="s">
        <v>108</v>
      </c>
      <c r="J18" s="270"/>
      <c r="K18" s="284"/>
      <c r="L18" s="285"/>
      <c r="M18" s="270"/>
      <c r="N18" s="270"/>
      <c r="O18" s="289"/>
      <c r="P18" s="288"/>
    </row>
    <row r="19" spans="2:16" ht="15">
      <c r="B19" s="263"/>
      <c r="C19" s="290"/>
      <c r="D19" s="291"/>
      <c r="E19" s="291"/>
      <c r="F19" s="291"/>
      <c r="G19" s="291"/>
      <c r="H19" s="291"/>
      <c r="I19" s="291"/>
      <c r="J19" s="291"/>
      <c r="K19" s="291"/>
      <c r="L19" s="291"/>
      <c r="M19" s="291"/>
      <c r="N19" s="291"/>
      <c r="O19" s="292"/>
      <c r="P19" s="293"/>
    </row>
    <row r="20" spans="2:16" ht="15" thickBot="1">
      <c r="B20" s="263"/>
      <c r="C20" s="294"/>
      <c r="D20" s="295"/>
      <c r="E20" s="295"/>
      <c r="F20" s="295"/>
      <c r="G20" s="295"/>
      <c r="H20" s="295"/>
      <c r="I20" s="295"/>
      <c r="J20" s="295"/>
      <c r="K20" s="295"/>
      <c r="L20" s="295"/>
      <c r="M20" s="295"/>
      <c r="N20" s="295"/>
      <c r="O20" s="296"/>
      <c r="P20" s="264"/>
    </row>
    <row r="21" spans="2:16" ht="15" thickBot="1">
      <c r="B21" s="263"/>
      <c r="C21" s="297"/>
      <c r="D21" s="298"/>
      <c r="E21" s="298"/>
      <c r="F21" s="298"/>
      <c r="G21" s="298"/>
      <c r="H21" s="298"/>
      <c r="I21" s="270"/>
      <c r="J21" s="270"/>
      <c r="K21" s="298"/>
      <c r="L21" s="298"/>
      <c r="M21" s="298"/>
      <c r="N21" s="298"/>
      <c r="O21" s="299"/>
      <c r="P21" s="264"/>
    </row>
    <row r="22" spans="2:16" ht="15">
      <c r="B22" s="263"/>
      <c r="C22" s="603" t="s">
        <v>109</v>
      </c>
      <c r="D22" s="604"/>
      <c r="E22" s="604"/>
      <c r="F22" s="604"/>
      <c r="G22" s="604"/>
      <c r="H22" s="604"/>
      <c r="I22" s="604"/>
      <c r="J22" s="604"/>
      <c r="K22" s="604"/>
      <c r="L22" s="604"/>
      <c r="M22" s="604"/>
      <c r="N22" s="604"/>
      <c r="O22" s="605"/>
      <c r="P22" s="300"/>
    </row>
    <row r="23" spans="2:16" ht="15" thickBot="1">
      <c r="B23" s="263"/>
      <c r="C23" s="301"/>
      <c r="D23" s="270"/>
      <c r="E23" s="270"/>
      <c r="F23" s="270"/>
      <c r="G23" s="270"/>
      <c r="H23" s="270"/>
      <c r="I23" s="270"/>
      <c r="J23" s="270"/>
      <c r="K23" s="270"/>
      <c r="L23" s="270"/>
      <c r="M23" s="270"/>
      <c r="N23" s="270"/>
      <c r="O23" s="302"/>
      <c r="P23" s="264"/>
    </row>
    <row r="24" spans="2:16" ht="15">
      <c r="B24" s="263"/>
      <c r="C24" s="303" t="s">
        <v>110</v>
      </c>
      <c r="D24" s="606" t="s">
        <v>91</v>
      </c>
      <c r="E24" s="607"/>
      <c r="F24" s="607"/>
      <c r="G24" s="607"/>
      <c r="H24" s="607"/>
      <c r="I24" s="607"/>
      <c r="J24" s="607"/>
      <c r="K24" s="607"/>
      <c r="L24" s="608"/>
      <c r="M24" s="609" t="s">
        <v>1</v>
      </c>
      <c r="N24" s="610"/>
      <c r="O24" s="303" t="s">
        <v>3</v>
      </c>
      <c r="P24" s="304"/>
    </row>
    <row r="25" spans="2:16" ht="15" thickBot="1">
      <c r="B25" s="263"/>
      <c r="C25" s="305"/>
      <c r="D25" s="611"/>
      <c r="E25" s="612"/>
      <c r="F25" s="612"/>
      <c r="G25" s="612"/>
      <c r="H25" s="612"/>
      <c r="I25" s="612"/>
      <c r="J25" s="612"/>
      <c r="K25" s="612"/>
      <c r="L25" s="613"/>
      <c r="M25" s="611"/>
      <c r="N25" s="613"/>
      <c r="O25" s="306"/>
      <c r="P25" s="307"/>
    </row>
    <row r="26" spans="2:16">
      <c r="B26" s="263"/>
      <c r="C26" s="566" t="s">
        <v>111</v>
      </c>
      <c r="D26" s="567"/>
      <c r="E26" s="567"/>
      <c r="F26" s="567"/>
      <c r="G26" s="567"/>
      <c r="H26" s="567"/>
      <c r="I26" s="567"/>
      <c r="J26" s="567"/>
      <c r="K26" s="567"/>
      <c r="L26" s="567"/>
      <c r="M26" s="567"/>
      <c r="N26" s="567"/>
      <c r="O26" s="568"/>
      <c r="P26" s="308"/>
    </row>
    <row r="27" spans="2:16">
      <c r="B27" s="263"/>
      <c r="C27" s="569"/>
      <c r="D27" s="570"/>
      <c r="E27" s="570"/>
      <c r="F27" s="570"/>
      <c r="G27" s="570"/>
      <c r="H27" s="570"/>
      <c r="I27" s="570"/>
      <c r="J27" s="570"/>
      <c r="K27" s="570"/>
      <c r="L27" s="570"/>
      <c r="M27" s="570"/>
      <c r="N27" s="570"/>
      <c r="O27" s="571"/>
      <c r="P27" s="308"/>
    </row>
    <row r="28" spans="2:16" ht="13.5" thickBot="1">
      <c r="B28" s="263"/>
      <c r="C28" s="572"/>
      <c r="D28" s="573"/>
      <c r="E28" s="573"/>
      <c r="F28" s="573"/>
      <c r="G28" s="573"/>
      <c r="H28" s="573"/>
      <c r="I28" s="573"/>
      <c r="J28" s="573"/>
      <c r="K28" s="573"/>
      <c r="L28" s="573"/>
      <c r="M28" s="573"/>
      <c r="N28" s="573"/>
      <c r="O28" s="574"/>
      <c r="P28" s="308"/>
    </row>
    <row r="29" spans="2:16" ht="15">
      <c r="B29" s="263"/>
      <c r="C29" s="575" t="s">
        <v>91</v>
      </c>
      <c r="D29" s="614"/>
      <c r="E29" s="614"/>
      <c r="F29" s="614"/>
      <c r="G29" s="615"/>
      <c r="H29" s="589" t="s">
        <v>112</v>
      </c>
      <c r="I29" s="614"/>
      <c r="J29" s="616" t="s">
        <v>82</v>
      </c>
      <c r="K29" s="617"/>
      <c r="L29" s="309" t="s">
        <v>113</v>
      </c>
      <c r="M29" s="589" t="s">
        <v>114</v>
      </c>
      <c r="N29" s="590"/>
      <c r="O29" s="310" t="s">
        <v>115</v>
      </c>
      <c r="P29" s="311"/>
    </row>
    <row r="30" spans="2:16" ht="14.25">
      <c r="B30" s="263"/>
      <c r="C30" s="579"/>
      <c r="D30" s="580"/>
      <c r="E30" s="580"/>
      <c r="F30" s="580"/>
      <c r="G30" s="597"/>
      <c r="H30" s="600"/>
      <c r="I30" s="597"/>
      <c r="J30" s="600"/>
      <c r="K30" s="597"/>
      <c r="L30" s="312"/>
      <c r="M30" s="592"/>
      <c r="N30" s="593"/>
      <c r="O30" s="313"/>
      <c r="P30" s="314"/>
    </row>
    <row r="31" spans="2:16" ht="14.25">
      <c r="B31" s="263"/>
      <c r="C31" s="315"/>
      <c r="D31" s="316"/>
      <c r="E31" s="316"/>
      <c r="F31" s="316"/>
      <c r="G31" s="317"/>
      <c r="H31" s="318"/>
      <c r="I31" s="317"/>
      <c r="J31" s="318"/>
      <c r="K31" s="317"/>
      <c r="L31" s="312"/>
      <c r="M31" s="592"/>
      <c r="N31" s="593"/>
      <c r="O31" s="313"/>
      <c r="P31" s="314"/>
    </row>
    <row r="32" spans="2:16" ht="15" thickBot="1">
      <c r="B32" s="263"/>
      <c r="C32" s="581"/>
      <c r="D32" s="582"/>
      <c r="E32" s="582"/>
      <c r="F32" s="582"/>
      <c r="G32" s="591"/>
      <c r="H32" s="594"/>
      <c r="I32" s="591"/>
      <c r="J32" s="594"/>
      <c r="K32" s="591"/>
      <c r="L32" s="319"/>
      <c r="M32" s="595"/>
      <c r="N32" s="596"/>
      <c r="O32" s="313"/>
      <c r="P32" s="314"/>
    </row>
    <row r="33" spans="2:16" ht="15.75" thickBot="1">
      <c r="B33" s="263"/>
      <c r="C33" s="557" t="s">
        <v>116</v>
      </c>
      <c r="D33" s="558"/>
      <c r="E33" s="558"/>
      <c r="F33" s="558"/>
      <c r="G33" s="558"/>
      <c r="H33" s="558"/>
      <c r="I33" s="558"/>
      <c r="J33" s="558"/>
      <c r="K33" s="558"/>
      <c r="L33" s="558"/>
      <c r="M33" s="558"/>
      <c r="N33" s="559"/>
      <c r="O33" s="320"/>
      <c r="P33" s="321"/>
    </row>
    <row r="34" spans="2:16" ht="13.5" customHeight="1">
      <c r="B34" s="263"/>
      <c r="C34" s="566" t="s">
        <v>117</v>
      </c>
      <c r="D34" s="567"/>
      <c r="E34" s="567"/>
      <c r="F34" s="567"/>
      <c r="G34" s="567"/>
      <c r="H34" s="567"/>
      <c r="I34" s="567"/>
      <c r="J34" s="567"/>
      <c r="K34" s="567"/>
      <c r="L34" s="567"/>
      <c r="M34" s="567"/>
      <c r="N34" s="567"/>
      <c r="O34" s="568"/>
      <c r="P34" s="308"/>
    </row>
    <row r="35" spans="2:16">
      <c r="B35" s="263"/>
      <c r="C35" s="569"/>
      <c r="D35" s="570"/>
      <c r="E35" s="570"/>
      <c r="F35" s="570"/>
      <c r="G35" s="570"/>
      <c r="H35" s="570"/>
      <c r="I35" s="570"/>
      <c r="J35" s="570"/>
      <c r="K35" s="570"/>
      <c r="L35" s="570"/>
      <c r="M35" s="570"/>
      <c r="N35" s="570"/>
      <c r="O35" s="571"/>
      <c r="P35" s="308"/>
    </row>
    <row r="36" spans="2:16" ht="13.5" thickBot="1">
      <c r="B36" s="263"/>
      <c r="C36" s="572"/>
      <c r="D36" s="573"/>
      <c r="E36" s="573"/>
      <c r="F36" s="573"/>
      <c r="G36" s="573"/>
      <c r="H36" s="573"/>
      <c r="I36" s="573"/>
      <c r="J36" s="573"/>
      <c r="K36" s="573"/>
      <c r="L36" s="573"/>
      <c r="M36" s="573"/>
      <c r="N36" s="573"/>
      <c r="O36" s="574"/>
      <c r="P36" s="308"/>
    </row>
    <row r="37" spans="2:16" ht="15">
      <c r="B37" s="263"/>
      <c r="C37" s="575" t="s">
        <v>91</v>
      </c>
      <c r="D37" s="576"/>
      <c r="E37" s="576"/>
      <c r="F37" s="576"/>
      <c r="G37" s="576"/>
      <c r="H37" s="576"/>
      <c r="I37" s="576"/>
      <c r="J37" s="590"/>
      <c r="K37" s="322" t="s">
        <v>1</v>
      </c>
      <c r="L37" s="309" t="s">
        <v>3</v>
      </c>
      <c r="M37" s="589" t="s">
        <v>118</v>
      </c>
      <c r="N37" s="590"/>
      <c r="O37" s="310" t="s">
        <v>115</v>
      </c>
      <c r="P37" s="311"/>
    </row>
    <row r="38" spans="2:16" ht="14.25">
      <c r="B38" s="263"/>
      <c r="C38" s="579"/>
      <c r="D38" s="580"/>
      <c r="E38" s="580"/>
      <c r="F38" s="580"/>
      <c r="G38" s="580"/>
      <c r="H38" s="580"/>
      <c r="I38" s="580"/>
      <c r="J38" s="597"/>
      <c r="K38" s="323"/>
      <c r="L38" s="324"/>
      <c r="M38" s="598"/>
      <c r="N38" s="599"/>
      <c r="O38" s="313"/>
      <c r="P38" s="314"/>
    </row>
    <row r="39" spans="2:16" ht="15" thickBot="1">
      <c r="B39" s="263"/>
      <c r="C39" s="581"/>
      <c r="D39" s="582"/>
      <c r="E39" s="582"/>
      <c r="F39" s="582"/>
      <c r="G39" s="582"/>
      <c r="H39" s="582"/>
      <c r="I39" s="582"/>
      <c r="J39" s="591"/>
      <c r="K39" s="316"/>
      <c r="L39" s="325"/>
      <c r="M39" s="583"/>
      <c r="N39" s="584"/>
      <c r="O39" s="326"/>
      <c r="P39" s="314"/>
    </row>
    <row r="40" spans="2:16" ht="15.75" thickBot="1">
      <c r="B40" s="263"/>
      <c r="C40" s="557" t="s">
        <v>116</v>
      </c>
      <c r="D40" s="558"/>
      <c r="E40" s="558"/>
      <c r="F40" s="558"/>
      <c r="G40" s="558"/>
      <c r="H40" s="558"/>
      <c r="I40" s="558"/>
      <c r="J40" s="558"/>
      <c r="K40" s="558"/>
      <c r="L40" s="558"/>
      <c r="M40" s="558"/>
      <c r="N40" s="559"/>
      <c r="O40" s="327">
        <v>0</v>
      </c>
      <c r="P40" s="314"/>
    </row>
    <row r="41" spans="2:16">
      <c r="B41" s="263"/>
      <c r="C41" s="566" t="s">
        <v>119</v>
      </c>
      <c r="D41" s="567"/>
      <c r="E41" s="567"/>
      <c r="F41" s="567"/>
      <c r="G41" s="567"/>
      <c r="H41" s="567"/>
      <c r="I41" s="567"/>
      <c r="J41" s="567"/>
      <c r="K41" s="567"/>
      <c r="L41" s="567"/>
      <c r="M41" s="567"/>
      <c r="N41" s="567"/>
      <c r="O41" s="568"/>
      <c r="P41" s="308"/>
    </row>
    <row r="42" spans="2:16">
      <c r="B42" s="263"/>
      <c r="C42" s="569"/>
      <c r="D42" s="570"/>
      <c r="E42" s="570"/>
      <c r="F42" s="570"/>
      <c r="G42" s="570"/>
      <c r="H42" s="570"/>
      <c r="I42" s="570"/>
      <c r="J42" s="570"/>
      <c r="K42" s="570"/>
      <c r="L42" s="570"/>
      <c r="M42" s="570"/>
      <c r="N42" s="570"/>
      <c r="O42" s="571"/>
      <c r="P42" s="308"/>
    </row>
    <row r="43" spans="2:16" ht="13.5" thickBot="1">
      <c r="B43" s="263"/>
      <c r="C43" s="572"/>
      <c r="D43" s="573"/>
      <c r="E43" s="573"/>
      <c r="F43" s="573"/>
      <c r="G43" s="573"/>
      <c r="H43" s="573"/>
      <c r="I43" s="573"/>
      <c r="J43" s="573"/>
      <c r="K43" s="573"/>
      <c r="L43" s="573"/>
      <c r="M43" s="573"/>
      <c r="N43" s="573"/>
      <c r="O43" s="574"/>
      <c r="P43" s="308"/>
    </row>
    <row r="44" spans="2:16" ht="17.25">
      <c r="B44" s="263"/>
      <c r="C44" s="575" t="s">
        <v>120</v>
      </c>
      <c r="D44" s="576"/>
      <c r="E44" s="576"/>
      <c r="F44" s="576"/>
      <c r="G44" s="576"/>
      <c r="H44" s="576"/>
      <c r="I44" s="576"/>
      <c r="J44" s="309" t="s">
        <v>121</v>
      </c>
      <c r="K44" s="328" t="s">
        <v>122</v>
      </c>
      <c r="L44" s="329" t="s">
        <v>123</v>
      </c>
      <c r="M44" s="589" t="s">
        <v>124</v>
      </c>
      <c r="N44" s="590"/>
      <c r="O44" s="310" t="s">
        <v>115</v>
      </c>
      <c r="P44" s="311"/>
    </row>
    <row r="45" spans="2:16" ht="14.25">
      <c r="B45" s="263"/>
      <c r="C45" s="579"/>
      <c r="D45" s="580"/>
      <c r="E45" s="580"/>
      <c r="F45" s="580"/>
      <c r="G45" s="580"/>
      <c r="H45" s="580"/>
      <c r="I45" s="580"/>
      <c r="J45" s="330"/>
      <c r="K45" s="331"/>
      <c r="L45" s="330"/>
      <c r="M45" s="587"/>
      <c r="N45" s="588"/>
      <c r="O45" s="313"/>
      <c r="P45" s="314"/>
    </row>
    <row r="46" spans="2:16" ht="15" thickBot="1">
      <c r="B46" s="263"/>
      <c r="C46" s="581"/>
      <c r="D46" s="582"/>
      <c r="E46" s="582"/>
      <c r="F46" s="582"/>
      <c r="G46" s="582"/>
      <c r="H46" s="582"/>
      <c r="I46" s="582"/>
      <c r="J46" s="332"/>
      <c r="K46" s="333"/>
      <c r="L46" s="332"/>
      <c r="M46" s="583"/>
      <c r="N46" s="584"/>
      <c r="O46" s="334"/>
      <c r="P46" s="314"/>
    </row>
    <row r="47" spans="2:16" ht="15.75" thickBot="1">
      <c r="B47" s="263"/>
      <c r="C47" s="557" t="s">
        <v>116</v>
      </c>
      <c r="D47" s="558"/>
      <c r="E47" s="558"/>
      <c r="F47" s="558"/>
      <c r="G47" s="558"/>
      <c r="H47" s="558"/>
      <c r="I47" s="558"/>
      <c r="J47" s="558"/>
      <c r="K47" s="558"/>
      <c r="L47" s="558"/>
      <c r="M47" s="558"/>
      <c r="N47" s="559"/>
      <c r="O47" s="320"/>
      <c r="P47" s="321"/>
    </row>
    <row r="48" spans="2:16">
      <c r="B48" s="263"/>
      <c r="C48" s="566" t="s">
        <v>125</v>
      </c>
      <c r="D48" s="567"/>
      <c r="E48" s="567"/>
      <c r="F48" s="567"/>
      <c r="G48" s="567"/>
      <c r="H48" s="567"/>
      <c r="I48" s="567"/>
      <c r="J48" s="567"/>
      <c r="K48" s="567"/>
      <c r="L48" s="567"/>
      <c r="M48" s="567"/>
      <c r="N48" s="567"/>
      <c r="O48" s="568"/>
      <c r="P48" s="308"/>
    </row>
    <row r="49" spans="2:16">
      <c r="B49" s="263"/>
      <c r="C49" s="569"/>
      <c r="D49" s="570"/>
      <c r="E49" s="570"/>
      <c r="F49" s="570"/>
      <c r="G49" s="570"/>
      <c r="H49" s="570"/>
      <c r="I49" s="570"/>
      <c r="J49" s="570"/>
      <c r="K49" s="570"/>
      <c r="L49" s="570"/>
      <c r="M49" s="570"/>
      <c r="N49" s="570"/>
      <c r="O49" s="571"/>
      <c r="P49" s="308"/>
    </row>
    <row r="50" spans="2:16" ht="13.5" thickBot="1">
      <c r="B50" s="263"/>
      <c r="C50" s="572"/>
      <c r="D50" s="573"/>
      <c r="E50" s="573"/>
      <c r="F50" s="573"/>
      <c r="G50" s="573"/>
      <c r="H50" s="573"/>
      <c r="I50" s="573"/>
      <c r="J50" s="573"/>
      <c r="K50" s="573"/>
      <c r="L50" s="573"/>
      <c r="M50" s="573"/>
      <c r="N50" s="573"/>
      <c r="O50" s="574"/>
      <c r="P50" s="308"/>
    </row>
    <row r="51" spans="2:16" ht="30">
      <c r="B51" s="263"/>
      <c r="C51" s="575" t="s">
        <v>126</v>
      </c>
      <c r="D51" s="576"/>
      <c r="E51" s="576"/>
      <c r="F51" s="576"/>
      <c r="G51" s="576"/>
      <c r="H51" s="576"/>
      <c r="I51" s="576"/>
      <c r="J51" s="309" t="s">
        <v>127</v>
      </c>
      <c r="K51" s="335" t="s">
        <v>128</v>
      </c>
      <c r="L51" s="336" t="s">
        <v>129</v>
      </c>
      <c r="M51" s="577" t="s">
        <v>114</v>
      </c>
      <c r="N51" s="578"/>
      <c r="O51" s="337" t="s">
        <v>115</v>
      </c>
      <c r="P51" s="338"/>
    </row>
    <row r="52" spans="2:16" ht="14.25">
      <c r="B52" s="263"/>
      <c r="C52" s="339"/>
      <c r="D52" s="340"/>
      <c r="E52" s="340"/>
      <c r="F52" s="340"/>
      <c r="G52" s="340"/>
      <c r="H52" s="340"/>
      <c r="I52" s="340"/>
      <c r="J52" s="341"/>
      <c r="K52" s="342"/>
      <c r="L52" s="343"/>
      <c r="M52" s="585"/>
      <c r="N52" s="586"/>
      <c r="O52" s="344"/>
      <c r="P52" s="345"/>
    </row>
    <row r="53" spans="2:16" ht="14.25">
      <c r="B53" s="263"/>
      <c r="C53" s="339"/>
      <c r="D53" s="340"/>
      <c r="E53" s="340"/>
      <c r="F53" s="340"/>
      <c r="G53" s="340"/>
      <c r="H53" s="340"/>
      <c r="I53" s="340"/>
      <c r="J53" s="341"/>
      <c r="K53" s="342"/>
      <c r="L53" s="343"/>
      <c r="M53" s="585"/>
      <c r="N53" s="586"/>
      <c r="O53" s="344"/>
      <c r="P53" s="345"/>
    </row>
    <row r="54" spans="2:16" ht="14.25">
      <c r="B54" s="263"/>
      <c r="C54" s="339"/>
      <c r="D54" s="340"/>
      <c r="E54" s="340"/>
      <c r="F54" s="340"/>
      <c r="G54" s="340"/>
      <c r="H54" s="340"/>
      <c r="I54" s="340"/>
      <c r="J54" s="341"/>
      <c r="K54" s="342"/>
      <c r="L54" s="343"/>
      <c r="M54" s="587"/>
      <c r="N54" s="588"/>
      <c r="O54" s="344"/>
      <c r="P54" s="345"/>
    </row>
    <row r="55" spans="2:16" ht="15" thickBot="1">
      <c r="B55" s="263"/>
      <c r="C55" s="581"/>
      <c r="D55" s="582"/>
      <c r="E55" s="582"/>
      <c r="F55" s="582"/>
      <c r="G55" s="582"/>
      <c r="H55" s="582"/>
      <c r="I55" s="582"/>
      <c r="J55" s="332"/>
      <c r="K55" s="333"/>
      <c r="L55" s="332"/>
      <c r="M55" s="583"/>
      <c r="N55" s="584"/>
      <c r="O55" s="334"/>
      <c r="P55" s="314"/>
    </row>
    <row r="56" spans="2:16" ht="15.75" thickBot="1">
      <c r="B56" s="263"/>
      <c r="C56" s="557" t="s">
        <v>116</v>
      </c>
      <c r="D56" s="558"/>
      <c r="E56" s="558"/>
      <c r="F56" s="558"/>
      <c r="G56" s="558"/>
      <c r="H56" s="558"/>
      <c r="I56" s="558"/>
      <c r="J56" s="558"/>
      <c r="K56" s="558"/>
      <c r="L56" s="558"/>
      <c r="M56" s="558"/>
      <c r="N56" s="559"/>
      <c r="O56" s="327"/>
      <c r="P56" s="314"/>
    </row>
    <row r="57" spans="2:16" ht="15" thickBot="1">
      <c r="B57" s="263"/>
      <c r="C57" s="301"/>
      <c r="D57" s="270"/>
      <c r="E57" s="270"/>
      <c r="F57" s="270"/>
      <c r="G57" s="270"/>
      <c r="H57" s="270"/>
      <c r="I57" s="270"/>
      <c r="J57" s="270"/>
      <c r="K57" s="270"/>
      <c r="L57" s="270"/>
      <c r="M57" s="270"/>
      <c r="N57" s="270"/>
      <c r="O57" s="302"/>
      <c r="P57" s="264"/>
    </row>
    <row r="58" spans="2:16" ht="15.75" thickBot="1">
      <c r="B58" s="263"/>
      <c r="C58" s="560" t="s">
        <v>130</v>
      </c>
      <c r="D58" s="561"/>
      <c r="E58" s="561"/>
      <c r="F58" s="561"/>
      <c r="G58" s="561"/>
      <c r="H58" s="561"/>
      <c r="I58" s="561"/>
      <c r="J58" s="561"/>
      <c r="K58" s="561"/>
      <c r="L58" s="561"/>
      <c r="M58" s="561"/>
      <c r="N58" s="562"/>
      <c r="O58" s="346"/>
      <c r="P58" s="347"/>
    </row>
    <row r="59" spans="2:16">
      <c r="B59" s="263"/>
      <c r="C59" s="566" t="s">
        <v>131</v>
      </c>
      <c r="D59" s="567"/>
      <c r="E59" s="567"/>
      <c r="F59" s="567"/>
      <c r="G59" s="567"/>
      <c r="H59" s="567"/>
      <c r="I59" s="567"/>
      <c r="J59" s="567"/>
      <c r="K59" s="567"/>
      <c r="L59" s="567"/>
      <c r="M59" s="567"/>
      <c r="N59" s="567"/>
      <c r="O59" s="568"/>
      <c r="P59" s="308"/>
    </row>
    <row r="60" spans="2:16">
      <c r="B60" s="263"/>
      <c r="C60" s="569"/>
      <c r="D60" s="570"/>
      <c r="E60" s="570"/>
      <c r="F60" s="570"/>
      <c r="G60" s="570"/>
      <c r="H60" s="570"/>
      <c r="I60" s="570"/>
      <c r="J60" s="570"/>
      <c r="K60" s="570"/>
      <c r="L60" s="570"/>
      <c r="M60" s="570"/>
      <c r="N60" s="570"/>
      <c r="O60" s="571"/>
      <c r="P60" s="308"/>
    </row>
    <row r="61" spans="2:16" ht="13.5" thickBot="1">
      <c r="B61" s="263"/>
      <c r="C61" s="572"/>
      <c r="D61" s="573"/>
      <c r="E61" s="573"/>
      <c r="F61" s="573"/>
      <c r="G61" s="573"/>
      <c r="H61" s="573"/>
      <c r="I61" s="573"/>
      <c r="J61" s="573"/>
      <c r="K61" s="573"/>
      <c r="L61" s="573"/>
      <c r="M61" s="573"/>
      <c r="N61" s="573"/>
      <c r="O61" s="574"/>
      <c r="P61" s="308"/>
    </row>
    <row r="62" spans="2:16" ht="15">
      <c r="B62" s="263"/>
      <c r="C62" s="575" t="s">
        <v>132</v>
      </c>
      <c r="D62" s="576"/>
      <c r="E62" s="576"/>
      <c r="F62" s="576"/>
      <c r="G62" s="576"/>
      <c r="H62" s="576"/>
      <c r="I62" s="576"/>
      <c r="J62" s="328"/>
      <c r="K62" s="348"/>
      <c r="L62" s="336" t="s">
        <v>133</v>
      </c>
      <c r="M62" s="577" t="s">
        <v>134</v>
      </c>
      <c r="N62" s="578"/>
      <c r="O62" s="337"/>
      <c r="P62" s="338"/>
    </row>
    <row r="63" spans="2:16" ht="14.25">
      <c r="B63" s="263"/>
      <c r="C63" s="579" t="s">
        <v>71</v>
      </c>
      <c r="D63" s="580"/>
      <c r="E63" s="580"/>
      <c r="F63" s="580"/>
      <c r="G63" s="580"/>
      <c r="H63" s="580"/>
      <c r="I63" s="580"/>
      <c r="J63" s="349"/>
      <c r="K63" s="350"/>
      <c r="L63" s="351"/>
      <c r="M63" s="553"/>
      <c r="N63" s="554"/>
      <c r="O63" s="352"/>
      <c r="P63" s="353"/>
    </row>
    <row r="64" spans="2:16" ht="14.25">
      <c r="B64" s="263"/>
      <c r="C64" s="315" t="s">
        <v>135</v>
      </c>
      <c r="D64" s="316"/>
      <c r="E64" s="316"/>
      <c r="F64" s="316"/>
      <c r="G64" s="316"/>
      <c r="H64" s="316"/>
      <c r="I64" s="316"/>
      <c r="J64" s="349"/>
      <c r="K64" s="350"/>
      <c r="L64" s="351"/>
      <c r="M64" s="553"/>
      <c r="N64" s="554"/>
      <c r="O64" s="352"/>
      <c r="P64" s="353"/>
    </row>
    <row r="65" spans="2:16" ht="15" thickBot="1">
      <c r="B65" s="263"/>
      <c r="C65" s="294" t="s">
        <v>136</v>
      </c>
      <c r="D65" s="295"/>
      <c r="E65" s="295"/>
      <c r="F65" s="295"/>
      <c r="G65" s="295"/>
      <c r="H65" s="295"/>
      <c r="I65" s="295"/>
      <c r="J65" s="354"/>
      <c r="K65" s="355"/>
      <c r="L65" s="351"/>
      <c r="M65" s="555"/>
      <c r="N65" s="556"/>
      <c r="O65" s="352"/>
      <c r="P65" s="353"/>
    </row>
    <row r="66" spans="2:16" ht="15.75" thickBot="1">
      <c r="B66" s="263"/>
      <c r="C66" s="557" t="s">
        <v>116</v>
      </c>
      <c r="D66" s="558"/>
      <c r="E66" s="558"/>
      <c r="F66" s="558"/>
      <c r="G66" s="558"/>
      <c r="H66" s="558"/>
      <c r="I66" s="558"/>
      <c r="J66" s="558"/>
      <c r="K66" s="558"/>
      <c r="L66" s="558"/>
      <c r="M66" s="558"/>
      <c r="N66" s="559"/>
      <c r="O66" s="356"/>
      <c r="P66" s="357"/>
    </row>
    <row r="67" spans="2:16" ht="15" thickBot="1">
      <c r="B67" s="263"/>
      <c r="C67" s="301"/>
      <c r="D67" s="270"/>
      <c r="E67" s="270"/>
      <c r="F67" s="270"/>
      <c r="G67" s="270"/>
      <c r="H67" s="270"/>
      <c r="I67" s="270"/>
      <c r="J67" s="270"/>
      <c r="K67" s="270"/>
      <c r="L67" s="270"/>
      <c r="M67" s="270"/>
      <c r="N67" s="270"/>
      <c r="O67" s="302"/>
      <c r="P67" s="264"/>
    </row>
    <row r="68" spans="2:16" ht="15.75" thickBot="1">
      <c r="B68" s="263"/>
      <c r="C68" s="560" t="s">
        <v>137</v>
      </c>
      <c r="D68" s="561"/>
      <c r="E68" s="561"/>
      <c r="F68" s="561"/>
      <c r="G68" s="561"/>
      <c r="H68" s="561"/>
      <c r="I68" s="561"/>
      <c r="J68" s="561"/>
      <c r="K68" s="561"/>
      <c r="L68" s="561"/>
      <c r="M68" s="561"/>
      <c r="N68" s="562"/>
      <c r="O68" s="358"/>
      <c r="P68" s="357"/>
    </row>
    <row r="69" spans="2:16" ht="14.25">
      <c r="B69" s="263"/>
      <c r="C69" s="297"/>
      <c r="D69" s="298"/>
      <c r="E69" s="298"/>
      <c r="F69" s="298"/>
      <c r="G69" s="298"/>
      <c r="H69" s="298"/>
      <c r="I69" s="298"/>
      <c r="J69" s="298"/>
      <c r="K69" s="298"/>
      <c r="L69" s="298"/>
      <c r="M69" s="298"/>
      <c r="N69" s="298"/>
      <c r="O69" s="299"/>
      <c r="P69" s="264"/>
    </row>
    <row r="70" spans="2:16" ht="14.25">
      <c r="B70" s="263"/>
      <c r="C70" s="301"/>
      <c r="D70" s="270"/>
      <c r="E70" s="270"/>
      <c r="F70" s="270"/>
      <c r="G70" s="270"/>
      <c r="H70" s="270"/>
      <c r="I70" s="270"/>
      <c r="J70" s="270"/>
      <c r="K70" s="270"/>
      <c r="L70" s="270"/>
      <c r="M70" s="270"/>
      <c r="N70" s="270"/>
      <c r="O70" s="302"/>
      <c r="P70" s="264"/>
    </row>
    <row r="71" spans="2:16" ht="14.25">
      <c r="B71" s="263"/>
      <c r="C71" s="301"/>
      <c r="D71" s="270"/>
      <c r="E71" s="270"/>
      <c r="F71" s="270"/>
      <c r="G71" s="270"/>
      <c r="H71" s="270"/>
      <c r="I71" s="270"/>
      <c r="J71" s="270"/>
      <c r="K71" s="270"/>
      <c r="L71" s="270"/>
      <c r="M71" s="270"/>
      <c r="N71" s="270"/>
      <c r="O71" s="302"/>
      <c r="P71" s="264"/>
    </row>
    <row r="72" spans="2:16" ht="14.25">
      <c r="B72" s="263"/>
      <c r="C72" s="301"/>
      <c r="D72" s="270"/>
      <c r="E72" s="270"/>
      <c r="F72" s="270"/>
      <c r="G72" s="270"/>
      <c r="H72" s="359" t="s">
        <v>138</v>
      </c>
      <c r="I72" s="359"/>
      <c r="J72" s="359"/>
      <c r="K72" s="359"/>
      <c r="L72" s="270"/>
      <c r="M72" s="270"/>
      <c r="N72" s="270"/>
      <c r="O72" s="302"/>
      <c r="P72" s="264"/>
    </row>
    <row r="73" spans="2:16" ht="15">
      <c r="B73" s="263"/>
      <c r="C73" s="301"/>
      <c r="D73" s="270"/>
      <c r="E73" s="270"/>
      <c r="F73" s="270"/>
      <c r="G73" s="270"/>
      <c r="H73" s="359" t="s">
        <v>139</v>
      </c>
      <c r="I73" s="270"/>
      <c r="J73" s="270"/>
      <c r="K73" s="270"/>
      <c r="L73" s="270"/>
      <c r="M73" s="270"/>
      <c r="N73" s="270"/>
      <c r="O73" s="302"/>
      <c r="P73" s="360"/>
    </row>
    <row r="74" spans="2:16" ht="15">
      <c r="B74" s="263"/>
      <c r="C74" s="301"/>
      <c r="D74" s="270"/>
      <c r="E74" s="270"/>
      <c r="F74" s="270"/>
      <c r="G74" s="270"/>
      <c r="H74" s="359" t="s">
        <v>140</v>
      </c>
      <c r="I74" s="270"/>
      <c r="J74" s="270"/>
      <c r="K74" s="270"/>
      <c r="L74" s="270"/>
      <c r="M74" s="270"/>
      <c r="N74" s="270"/>
      <c r="O74" s="302"/>
      <c r="P74" s="360"/>
    </row>
    <row r="75" spans="2:16" ht="14.25">
      <c r="B75" s="263"/>
      <c r="C75" s="283"/>
      <c r="D75" s="361"/>
      <c r="E75" s="361"/>
      <c r="F75" s="361"/>
      <c r="G75" s="361"/>
      <c r="H75" s="359" t="s">
        <v>141</v>
      </c>
      <c r="I75" s="361"/>
      <c r="J75" s="361"/>
      <c r="K75" s="361"/>
      <c r="L75" s="361"/>
      <c r="M75" s="361"/>
      <c r="N75" s="361"/>
      <c r="O75" s="362"/>
      <c r="P75" s="363"/>
    </row>
    <row r="76" spans="2:16" ht="14.25">
      <c r="B76" s="263"/>
      <c r="C76" s="301"/>
      <c r="D76" s="270"/>
      <c r="E76" s="270"/>
      <c r="F76" s="270"/>
      <c r="G76" s="270"/>
      <c r="H76" s="270" t="s">
        <v>142</v>
      </c>
      <c r="I76" s="270"/>
      <c r="J76" s="270"/>
      <c r="K76" s="270"/>
      <c r="L76" s="270"/>
      <c r="M76" s="270"/>
      <c r="N76" s="270"/>
      <c r="O76" s="302"/>
      <c r="P76" s="264"/>
    </row>
    <row r="77" spans="2:16" ht="15">
      <c r="B77" s="263"/>
      <c r="C77" s="364" t="s">
        <v>143</v>
      </c>
      <c r="D77" s="365"/>
      <c r="E77" s="365"/>
      <c r="F77" s="365"/>
      <c r="G77" s="365"/>
      <c r="H77" s="365"/>
      <c r="I77" s="365"/>
      <c r="J77" s="365"/>
      <c r="K77" s="365"/>
      <c r="L77" s="365"/>
      <c r="M77" s="365"/>
      <c r="N77" s="365"/>
      <c r="O77" s="366"/>
      <c r="P77" s="264"/>
    </row>
    <row r="78" spans="2:16" ht="14.25">
      <c r="B78" s="263"/>
      <c r="C78" s="563"/>
      <c r="D78" s="564"/>
      <c r="E78" s="564"/>
      <c r="F78" s="564"/>
      <c r="G78" s="564"/>
      <c r="H78" s="564"/>
      <c r="I78" s="564"/>
      <c r="J78" s="564"/>
      <c r="K78" s="564"/>
      <c r="L78" s="564"/>
      <c r="M78" s="564"/>
      <c r="N78" s="564"/>
      <c r="O78" s="565"/>
      <c r="P78" s="363"/>
    </row>
    <row r="79" spans="2:16" ht="14.25">
      <c r="B79" s="263"/>
      <c r="C79" s="563"/>
      <c r="D79" s="564"/>
      <c r="E79" s="564"/>
      <c r="F79" s="564"/>
      <c r="G79" s="564"/>
      <c r="H79" s="564"/>
      <c r="I79" s="564"/>
      <c r="J79" s="564"/>
      <c r="K79" s="564"/>
      <c r="L79" s="564"/>
      <c r="M79" s="564"/>
      <c r="N79" s="564"/>
      <c r="O79" s="565"/>
      <c r="P79" s="363"/>
    </row>
    <row r="80" spans="2:16" ht="14.25">
      <c r="B80" s="263"/>
      <c r="C80" s="283"/>
      <c r="D80" s="361"/>
      <c r="E80" s="361"/>
      <c r="F80" s="361"/>
      <c r="G80" s="361"/>
      <c r="H80" s="361"/>
      <c r="I80" s="361"/>
      <c r="J80" s="361"/>
      <c r="K80" s="361"/>
      <c r="L80" s="361"/>
      <c r="M80" s="361"/>
      <c r="N80" s="361"/>
      <c r="O80" s="362"/>
      <c r="P80" s="363"/>
    </row>
    <row r="81" spans="2:16" ht="15">
      <c r="B81" s="263"/>
      <c r="C81" s="367" t="s">
        <v>144</v>
      </c>
      <c r="D81" s="361"/>
      <c r="E81" s="361"/>
      <c r="F81" s="361"/>
      <c r="G81" s="361"/>
      <c r="H81" s="361"/>
      <c r="I81" s="361"/>
      <c r="J81" s="361"/>
      <c r="K81" s="361"/>
      <c r="L81" s="361"/>
      <c r="M81" s="361"/>
      <c r="N81" s="361"/>
      <c r="O81" s="362"/>
      <c r="P81" s="363"/>
    </row>
    <row r="82" spans="2:16" ht="12.75" customHeight="1">
      <c r="B82" s="263"/>
      <c r="C82" s="544" t="s">
        <v>145</v>
      </c>
      <c r="D82" s="545"/>
      <c r="E82" s="545"/>
      <c r="F82" s="545"/>
      <c r="G82" s="545"/>
      <c r="H82" s="545"/>
      <c r="I82" s="545"/>
      <c r="J82" s="545"/>
      <c r="K82" s="545"/>
      <c r="L82" s="545"/>
      <c r="M82" s="545"/>
      <c r="N82" s="545"/>
      <c r="O82" s="546"/>
      <c r="P82" s="368"/>
    </row>
    <row r="83" spans="2:16">
      <c r="B83" s="263"/>
      <c r="C83" s="544"/>
      <c r="D83" s="545"/>
      <c r="E83" s="545"/>
      <c r="F83" s="545"/>
      <c r="G83" s="545"/>
      <c r="H83" s="545"/>
      <c r="I83" s="545"/>
      <c r="J83" s="545"/>
      <c r="K83" s="545"/>
      <c r="L83" s="545"/>
      <c r="M83" s="545"/>
      <c r="N83" s="545"/>
      <c r="O83" s="546"/>
      <c r="P83" s="368"/>
    </row>
    <row r="84" spans="2:16" ht="12.95" customHeight="1">
      <c r="B84" s="263"/>
      <c r="C84" s="544" t="s">
        <v>146</v>
      </c>
      <c r="D84" s="545"/>
      <c r="E84" s="545"/>
      <c r="F84" s="545"/>
      <c r="G84" s="545"/>
      <c r="H84" s="545"/>
      <c r="I84" s="545"/>
      <c r="J84" s="545"/>
      <c r="K84" s="545"/>
      <c r="L84" s="545"/>
      <c r="M84" s="545"/>
      <c r="N84" s="545"/>
      <c r="O84" s="546"/>
      <c r="P84" s="368"/>
    </row>
    <row r="85" spans="2:16">
      <c r="B85" s="263"/>
      <c r="C85" s="544"/>
      <c r="D85" s="545"/>
      <c r="E85" s="545"/>
      <c r="F85" s="545"/>
      <c r="G85" s="545"/>
      <c r="H85" s="545"/>
      <c r="I85" s="545"/>
      <c r="J85" s="545"/>
      <c r="K85" s="545"/>
      <c r="L85" s="545"/>
      <c r="M85" s="545"/>
      <c r="N85" s="545"/>
      <c r="O85" s="546"/>
      <c r="P85" s="368"/>
    </row>
    <row r="86" spans="2:16" ht="14.25">
      <c r="B86" s="263"/>
      <c r="C86" s="283"/>
      <c r="D86" s="361"/>
      <c r="E86" s="361"/>
      <c r="F86" s="361"/>
      <c r="G86" s="361"/>
      <c r="H86" s="361"/>
      <c r="I86" s="361"/>
      <c r="J86" s="361"/>
      <c r="K86" s="361"/>
      <c r="L86" s="361"/>
      <c r="M86" s="361"/>
      <c r="N86" s="361"/>
      <c r="O86" s="362"/>
      <c r="P86" s="363"/>
    </row>
    <row r="87" spans="2:16" ht="14.25">
      <c r="B87" s="263"/>
      <c r="C87" s="301"/>
      <c r="D87" s="270"/>
      <c r="E87" s="270"/>
      <c r="F87" s="270"/>
      <c r="G87" s="270"/>
      <c r="H87" s="359" t="s">
        <v>138</v>
      </c>
      <c r="I87" s="270"/>
      <c r="J87" s="270"/>
      <c r="K87" s="270"/>
      <c r="L87" s="270"/>
      <c r="M87" s="270"/>
      <c r="N87" s="270"/>
      <c r="O87" s="302"/>
      <c r="P87" s="264"/>
    </row>
    <row r="88" spans="2:16" ht="14.25">
      <c r="B88" s="263"/>
      <c r="C88" s="301"/>
      <c r="D88" s="270"/>
      <c r="E88" s="270"/>
      <c r="F88" s="270"/>
      <c r="G88" s="270"/>
      <c r="H88" s="270" t="s">
        <v>139</v>
      </c>
      <c r="I88" s="316"/>
      <c r="J88" s="316"/>
      <c r="K88" s="316"/>
      <c r="L88" s="270"/>
      <c r="M88" s="270"/>
      <c r="N88" s="270"/>
      <c r="O88" s="302"/>
      <c r="P88" s="264"/>
    </row>
    <row r="89" spans="2:16" ht="14.25">
      <c r="B89" s="263"/>
      <c r="C89" s="301"/>
      <c r="D89" s="270"/>
      <c r="E89" s="270"/>
      <c r="F89" s="270"/>
      <c r="G89" s="270"/>
      <c r="H89" s="270" t="s">
        <v>147</v>
      </c>
      <c r="I89" s="369"/>
      <c r="J89" s="369"/>
      <c r="K89" s="369"/>
      <c r="L89" s="270"/>
      <c r="M89" s="270"/>
      <c r="N89" s="270"/>
      <c r="O89" s="302"/>
      <c r="P89" s="264"/>
    </row>
    <row r="90" spans="2:16" ht="14.25">
      <c r="B90" s="263"/>
      <c r="C90" s="370"/>
      <c r="D90" s="361"/>
      <c r="E90" s="361"/>
      <c r="F90" s="361"/>
      <c r="G90" s="361"/>
      <c r="H90" s="270" t="s">
        <v>141</v>
      </c>
      <c r="I90" s="270"/>
      <c r="J90" s="270"/>
      <c r="K90" s="270"/>
      <c r="L90" s="361"/>
      <c r="M90" s="361"/>
      <c r="N90" s="361"/>
      <c r="O90" s="362"/>
      <c r="P90" s="363"/>
    </row>
    <row r="91" spans="2:16" ht="17.25" customHeight="1">
      <c r="B91" s="263"/>
      <c r="C91" s="370"/>
      <c r="D91" s="369"/>
      <c r="E91" s="369"/>
      <c r="F91" s="270"/>
      <c r="G91" s="270"/>
      <c r="H91" s="270"/>
      <c r="I91" s="270"/>
      <c r="J91" s="270"/>
      <c r="K91" s="547"/>
      <c r="L91" s="547"/>
      <c r="M91" s="547"/>
      <c r="N91" s="547"/>
      <c r="O91" s="548"/>
      <c r="P91" s="371"/>
    </row>
    <row r="92" spans="2:16" ht="18.75" customHeight="1" thickBot="1">
      <c r="B92" s="263"/>
      <c r="C92" s="551"/>
      <c r="D92" s="552"/>
      <c r="E92" s="552"/>
      <c r="F92" s="333"/>
      <c r="G92" s="333"/>
      <c r="H92" s="333"/>
      <c r="I92" s="333"/>
      <c r="J92" s="333"/>
      <c r="K92" s="549"/>
      <c r="L92" s="549"/>
      <c r="M92" s="549"/>
      <c r="N92" s="549"/>
      <c r="O92" s="550"/>
      <c r="P92" s="371"/>
    </row>
    <row r="93" spans="2:16" ht="13.5" thickBot="1">
      <c r="B93" s="372"/>
      <c r="C93" s="373"/>
      <c r="D93" s="373"/>
      <c r="E93" s="373"/>
      <c r="F93" s="373"/>
      <c r="G93" s="373"/>
      <c r="H93" s="373"/>
      <c r="I93" s="373"/>
      <c r="J93" s="373"/>
      <c r="K93" s="373"/>
      <c r="L93" s="373"/>
      <c r="M93" s="373"/>
      <c r="N93" s="373"/>
      <c r="O93" s="373"/>
      <c r="P93" s="374"/>
    </row>
    <row r="94" spans="2:16" ht="13.5" thickTop="1"/>
  </sheetData>
  <mergeCells count="78">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2:O83"/>
    <mergeCell ref="C84:O85"/>
    <mergeCell ref="K91:O92"/>
    <mergeCell ref="C92:E92"/>
    <mergeCell ref="M64:N64"/>
    <mergeCell ref="M65:N65"/>
    <mergeCell ref="C66:N66"/>
    <mergeCell ref="C68:N68"/>
    <mergeCell ref="C78:O78"/>
    <mergeCell ref="C79:O7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PRESUPUESTO OFICIAL 1 (Entidad)</vt:lpstr>
      <vt:lpstr>APU'S MALTERIA</vt:lpstr>
      <vt:lpstr>A.U. OBRA</vt:lpstr>
      <vt:lpstr>PROPUESTA ECONOMICA(Proponente)</vt:lpstr>
      <vt:lpstr>INDICAR CÓDIGO DEL ITEM DE PAGO</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Darwin Zamir Gómez Guevara</dc:creator>
  <cp:lastModifiedBy>felipe arias</cp:lastModifiedBy>
  <cp:lastPrinted>2024-04-18T20:06:04Z</cp:lastPrinted>
  <dcterms:created xsi:type="dcterms:W3CDTF">2013-06-20T21:20:42Z</dcterms:created>
  <dcterms:modified xsi:type="dcterms:W3CDTF">2024-04-18T20:15:43Z</dcterms:modified>
</cp:coreProperties>
</file>