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9ccc7d38beb2989/Desktop/Carpeta SCRD/5. DOC SCRD 2024/8. PERSONAS JURÍDICAS.2024/SOLUCIONES BPO SAS.2024/2. PAGO/documentos secop ii/"/>
    </mc:Choice>
  </mc:AlternateContent>
  <xr:revisionPtr revIDLastSave="0" documentId="8_{0784A1B1-C03B-445A-8F6D-B0DE7A2ABB45}" xr6:coauthVersionLast="47" xr6:coauthVersionMax="47" xr10:uidLastSave="{00000000-0000-0000-0000-000000000000}"/>
  <bookViews>
    <workbookView xWindow="5040" yWindow="1305" windowWidth="19635" windowHeight="12690" tabRatio="883" firstSheet="3" activeTab="3" xr2:uid="{00000000-000D-0000-FFFF-FFFF00000000}"/>
  </bookViews>
  <sheets>
    <sheet name="TABLA CONVERSION ITEMS Psico" sheetId="9" state="hidden" r:id="rId1"/>
    <sheet name="TABLA CONVERSION ITEMS SUPER" sheetId="14" state="hidden" r:id="rId2"/>
    <sheet name="TABLA CONVERSION ITEMS ABOGA" sheetId="13" state="hidden" r:id="rId3"/>
    <sheet name="Control fac_Calma" sheetId="12" r:id="rId4"/>
    <sheet name="Hoja4" sheetId="17" state="hidden" r:id="rId5"/>
    <sheet name="CONTROL DE PPTO" sheetId="2" state="hidden" r:id="rId6"/>
    <sheet name="Cronograma" sheetId="16" state="hidden" r:id="rId7"/>
    <sheet name="Hoja1" sheetId="11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2" l="1"/>
  <c r="I5" i="12"/>
  <c r="BI6" i="12" l="1"/>
  <c r="BI7" i="12"/>
  <c r="BI8" i="12"/>
  <c r="BI9" i="12"/>
  <c r="BI31" i="12" s="1"/>
  <c r="BI32" i="12" s="1"/>
  <c r="BI10" i="12"/>
  <c r="BI11" i="12"/>
  <c r="BI12" i="12"/>
  <c r="BI13" i="12"/>
  <c r="BI14" i="12"/>
  <c r="BI15" i="12"/>
  <c r="BI16" i="12"/>
  <c r="BI17" i="12"/>
  <c r="BI18" i="12"/>
  <c r="BI19" i="12"/>
  <c r="BI20" i="12"/>
  <c r="BI21" i="12"/>
  <c r="BI22" i="12"/>
  <c r="BI23" i="12"/>
  <c r="BI24" i="12"/>
  <c r="BI25" i="12"/>
  <c r="BI26" i="12"/>
  <c r="BI27" i="12"/>
  <c r="BI28" i="12"/>
  <c r="BI29" i="12"/>
  <c r="BI30" i="12"/>
  <c r="BI5" i="12"/>
  <c r="BF6" i="12"/>
  <c r="BF7" i="12"/>
  <c r="BF8" i="12"/>
  <c r="BF9" i="12"/>
  <c r="BF10" i="12"/>
  <c r="BF11" i="12"/>
  <c r="BF12" i="12"/>
  <c r="BF13" i="12"/>
  <c r="BF14" i="12"/>
  <c r="BF15" i="12"/>
  <c r="BF16" i="12"/>
  <c r="BF17" i="12"/>
  <c r="BF18" i="12"/>
  <c r="BF19" i="12"/>
  <c r="BF20" i="12"/>
  <c r="BG20" i="12" s="1"/>
  <c r="BF21" i="12"/>
  <c r="BF22" i="12"/>
  <c r="BF23" i="12"/>
  <c r="BF24" i="12"/>
  <c r="BF25" i="12"/>
  <c r="BF26" i="12"/>
  <c r="BF27" i="12"/>
  <c r="BF28" i="12"/>
  <c r="BF29" i="12"/>
  <c r="BF30" i="12"/>
  <c r="BF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I25" i="12" s="1"/>
  <c r="G26" i="12"/>
  <c r="G27" i="12"/>
  <c r="G28" i="12"/>
  <c r="G29" i="12"/>
  <c r="G30" i="12"/>
  <c r="BI33" i="12" l="1"/>
  <c r="BG19" i="12"/>
  <c r="BG5" i="12"/>
  <c r="G31" i="12"/>
  <c r="G32" i="12" s="1"/>
  <c r="BG7" i="12" l="1"/>
  <c r="M10" i="17"/>
  <c r="M11" i="17" s="1"/>
  <c r="L10" i="17"/>
  <c r="I6" i="17"/>
  <c r="CG6" i="12" s="1"/>
  <c r="I12" i="17"/>
  <c r="I5" i="17"/>
  <c r="CG5" i="12" s="1"/>
  <c r="F6" i="17"/>
  <c r="F5" i="17"/>
  <c r="I15" i="17"/>
  <c r="I14" i="17"/>
  <c r="I11" i="17"/>
  <c r="I13" i="17"/>
  <c r="AY20" i="16"/>
  <c r="D1" i="16"/>
  <c r="E2" i="16"/>
  <c r="F2" i="16" s="1"/>
  <c r="G2" i="16" s="1"/>
  <c r="H2" i="16" s="1"/>
  <c r="I2" i="16" s="1"/>
  <c r="J2" i="16" s="1"/>
  <c r="K2" i="16" s="1"/>
  <c r="L2" i="16" s="1"/>
  <c r="K9" i="17" l="1"/>
  <c r="I7" i="17"/>
  <c r="I16" i="17"/>
  <c r="I17" i="17" s="1"/>
  <c r="I18" i="17" s="1"/>
  <c r="M2" i="16"/>
  <c r="L1" i="16"/>
  <c r="G1" i="16"/>
  <c r="K1" i="16"/>
  <c r="H1" i="16"/>
  <c r="E1" i="16"/>
  <c r="I1" i="16"/>
  <c r="F1" i="16"/>
  <c r="J1" i="16"/>
  <c r="CF17" i="12"/>
  <c r="CG17" i="12" s="1"/>
  <c r="CG11" i="12"/>
  <c r="D26" i="2" l="1"/>
  <c r="I8" i="17"/>
  <c r="M1" i="16"/>
  <c r="N2" i="16"/>
  <c r="I9" i="17" l="1"/>
  <c r="I20" i="17" s="1"/>
  <c r="N1" i="16"/>
  <c r="O2" i="16"/>
  <c r="BQ11" i="12"/>
  <c r="AT11" i="12"/>
  <c r="D9" i="2"/>
  <c r="E9" i="2" s="1"/>
  <c r="E26" i="2" l="1"/>
  <c r="F26" i="2" s="1"/>
  <c r="P2" i="16"/>
  <c r="O1" i="16"/>
  <c r="CJ6" i="12"/>
  <c r="CK6" i="12" s="1"/>
  <c r="CF6" i="12"/>
  <c r="CF30" i="12"/>
  <c r="CG30" i="12" s="1"/>
  <c r="CF29" i="12"/>
  <c r="CG29" i="12" s="1"/>
  <c r="CF28" i="12"/>
  <c r="CG28" i="12" s="1"/>
  <c r="CF27" i="12"/>
  <c r="CG27" i="12" s="1"/>
  <c r="CF26" i="12"/>
  <c r="CG26" i="12" s="1"/>
  <c r="CF25" i="12"/>
  <c r="CG25" i="12" s="1"/>
  <c r="CF24" i="12"/>
  <c r="CG24" i="12" s="1"/>
  <c r="CF23" i="12"/>
  <c r="CG23" i="12" s="1"/>
  <c r="CF22" i="12"/>
  <c r="CG22" i="12" s="1"/>
  <c r="CF21" i="12"/>
  <c r="CG21" i="12" s="1"/>
  <c r="CF20" i="12"/>
  <c r="CG20" i="12" s="1"/>
  <c r="CF19" i="12"/>
  <c r="CG19" i="12" s="1"/>
  <c r="CF18" i="12"/>
  <c r="CG18" i="12" s="1"/>
  <c r="CF16" i="12"/>
  <c r="CG16" i="12" s="1"/>
  <c r="CF15" i="12"/>
  <c r="CG15" i="12" s="1"/>
  <c r="CF14" i="12"/>
  <c r="CG14" i="12" s="1"/>
  <c r="CF13" i="12"/>
  <c r="CG13" i="12" s="1"/>
  <c r="CF12" i="12"/>
  <c r="CG12" i="12" s="1"/>
  <c r="CF10" i="12"/>
  <c r="CG10" i="12" s="1"/>
  <c r="CF9" i="12"/>
  <c r="CG9" i="12" s="1"/>
  <c r="CF8" i="12"/>
  <c r="CG8" i="12" s="1"/>
  <c r="CF7" i="12"/>
  <c r="CG7" i="12" s="1"/>
  <c r="CF5" i="12"/>
  <c r="BP21" i="12"/>
  <c r="BQ21" i="12" s="1"/>
  <c r="BP20" i="12"/>
  <c r="BQ20" i="12" s="1"/>
  <c r="BP19" i="12"/>
  <c r="BQ19" i="12" s="1"/>
  <c r="BP17" i="12"/>
  <c r="BQ17" i="12" s="1"/>
  <c r="BP13" i="12"/>
  <c r="BQ13" i="12" s="1"/>
  <c r="BP12" i="12"/>
  <c r="BQ12" i="12" s="1"/>
  <c r="BP10" i="12"/>
  <c r="BQ10" i="12" s="1"/>
  <c r="BP7" i="12"/>
  <c r="BQ7" i="12" s="1"/>
  <c r="BP6" i="12"/>
  <c r="BQ6" i="12" s="1"/>
  <c r="BP5" i="12"/>
  <c r="BY5" i="12" s="1"/>
  <c r="BZ5" i="12" s="1"/>
  <c r="BL21" i="12"/>
  <c r="BM21" i="12" s="1"/>
  <c r="BL20" i="12"/>
  <c r="BM20" i="12" s="1"/>
  <c r="BL19" i="12"/>
  <c r="BM19" i="12" s="1"/>
  <c r="BL17" i="12"/>
  <c r="BM17" i="12" s="1"/>
  <c r="BL13" i="12"/>
  <c r="BM13" i="12" s="1"/>
  <c r="BL12" i="12"/>
  <c r="BM12" i="12" s="1"/>
  <c r="BM11" i="12"/>
  <c r="BL10" i="12"/>
  <c r="BM10" i="12" s="1"/>
  <c r="BL7" i="12"/>
  <c r="BM7" i="12" s="1"/>
  <c r="BL6" i="12"/>
  <c r="BM6" i="12" s="1"/>
  <c r="BL5" i="12"/>
  <c r="BM5" i="12" s="1"/>
  <c r="BG21" i="12"/>
  <c r="BG17" i="12"/>
  <c r="BG13" i="12"/>
  <c r="BG12" i="12"/>
  <c r="BG11" i="12"/>
  <c r="BG10" i="12"/>
  <c r="BG6" i="12"/>
  <c r="CS19" i="12"/>
  <c r="AT20" i="12"/>
  <c r="BQ5" i="12" l="1"/>
  <c r="CQ5" i="12"/>
  <c r="CS5" i="12" s="1"/>
  <c r="CQ16" i="12"/>
  <c r="CS16" i="12" s="1"/>
  <c r="CQ12" i="12"/>
  <c r="CS12" i="12" s="1"/>
  <c r="CQ8" i="12"/>
  <c r="CS8" i="12" s="1"/>
  <c r="CQ7" i="12"/>
  <c r="CS7" i="12" s="1"/>
  <c r="CQ10" i="12"/>
  <c r="CS10" i="12" s="1"/>
  <c r="CQ9" i="12"/>
  <c r="CS9" i="12" s="1"/>
  <c r="CQ15" i="12"/>
  <c r="CS15" i="12" s="1"/>
  <c r="CQ11" i="12"/>
  <c r="CS11" i="12" s="1"/>
  <c r="CQ17" i="12"/>
  <c r="CS17" i="12" s="1"/>
  <c r="CQ14" i="12"/>
  <c r="CS14" i="12" s="1"/>
  <c r="CQ6" i="12"/>
  <c r="CS6" i="12" s="1"/>
  <c r="CQ13" i="12"/>
  <c r="CS13" i="12" s="1"/>
  <c r="Q2" i="16"/>
  <c r="P1" i="16"/>
  <c r="CJ5" i="12"/>
  <c r="CK5" i="12" s="1"/>
  <c r="CG31" i="12"/>
  <c r="AN9" i="12"/>
  <c r="AN11" i="12"/>
  <c r="AS5" i="12"/>
  <c r="AT5" i="12" s="1"/>
  <c r="AS6" i="12"/>
  <c r="AT6" i="12" s="1"/>
  <c r="AS9" i="12"/>
  <c r="AT9" i="12" s="1"/>
  <c r="AS7" i="12"/>
  <c r="AT7" i="12" s="1"/>
  <c r="AS10" i="12"/>
  <c r="AT10" i="12" s="1"/>
  <c r="CS18" i="12" l="1"/>
  <c r="CS20" i="12" s="1"/>
  <c r="CS21" i="12" s="1"/>
  <c r="R2" i="16"/>
  <c r="Q1" i="16"/>
  <c r="CG32" i="12"/>
  <c r="CG33" i="12" s="1"/>
  <c r="I22" i="14"/>
  <c r="F19" i="14"/>
  <c r="G12" i="14"/>
  <c r="G11" i="14"/>
  <c r="G10" i="14"/>
  <c r="G9" i="14"/>
  <c r="F9" i="14"/>
  <c r="F17" i="14" s="1"/>
  <c r="F22" i="14" s="1"/>
  <c r="H22" i="14" s="1"/>
  <c r="I22" i="13"/>
  <c r="F19" i="13"/>
  <c r="G12" i="13"/>
  <c r="G11" i="13"/>
  <c r="G10" i="13"/>
  <c r="G9" i="13"/>
  <c r="F9" i="13"/>
  <c r="F17" i="13" s="1"/>
  <c r="F22" i="13" s="1"/>
  <c r="H22" i="13" s="1"/>
  <c r="AS30" i="12"/>
  <c r="AT30" i="12" s="1"/>
  <c r="AM30" i="12"/>
  <c r="AN30" i="12" s="1"/>
  <c r="AH30" i="12"/>
  <c r="AI30" i="12" s="1"/>
  <c r="AC30" i="12"/>
  <c r="V30" i="12"/>
  <c r="W30" i="12" s="1"/>
  <c r="P30" i="12"/>
  <c r="Q30" i="12" s="1"/>
  <c r="M30" i="12"/>
  <c r="AS29" i="12"/>
  <c r="AT29" i="12" s="1"/>
  <c r="AM29" i="12"/>
  <c r="AN29" i="12" s="1"/>
  <c r="AH29" i="12"/>
  <c r="AI29" i="12" s="1"/>
  <c r="AC29" i="12"/>
  <c r="V29" i="12"/>
  <c r="W29" i="12" s="1"/>
  <c r="P29" i="12"/>
  <c r="Q29" i="12" s="1"/>
  <c r="M29" i="12"/>
  <c r="AS28" i="12"/>
  <c r="AT28" i="12" s="1"/>
  <c r="AM28" i="12"/>
  <c r="AN28" i="12" s="1"/>
  <c r="AH28" i="12"/>
  <c r="AI28" i="12" s="1"/>
  <c r="AC28" i="12"/>
  <c r="V28" i="12"/>
  <c r="W28" i="12" s="1"/>
  <c r="P28" i="12"/>
  <c r="Q28" i="12" s="1"/>
  <c r="M28" i="12"/>
  <c r="AS27" i="12"/>
  <c r="AT27" i="12" s="1"/>
  <c r="AM27" i="12"/>
  <c r="AN27" i="12" s="1"/>
  <c r="AH27" i="12"/>
  <c r="AI27" i="12" s="1"/>
  <c r="AC27" i="12"/>
  <c r="V27" i="12"/>
  <c r="W27" i="12" s="1"/>
  <c r="P27" i="12"/>
  <c r="Q27" i="12" s="1"/>
  <c r="M27" i="12"/>
  <c r="AS26" i="12"/>
  <c r="AT26" i="12" s="1"/>
  <c r="AM26" i="12"/>
  <c r="AN26" i="12" s="1"/>
  <c r="AH26" i="12"/>
  <c r="AI26" i="12" s="1"/>
  <c r="AC26" i="12"/>
  <c r="V26" i="12"/>
  <c r="W26" i="12" s="1"/>
  <c r="P26" i="12"/>
  <c r="Q26" i="12" s="1"/>
  <c r="M26" i="12"/>
  <c r="AS25" i="12"/>
  <c r="AT25" i="12" s="1"/>
  <c r="AM25" i="12"/>
  <c r="AN25" i="12" s="1"/>
  <c r="AH25" i="12"/>
  <c r="AI25" i="12" s="1"/>
  <c r="AC25" i="12"/>
  <c r="V25" i="12"/>
  <c r="W25" i="12" s="1"/>
  <c r="P25" i="12"/>
  <c r="Q25" i="12" s="1"/>
  <c r="M25" i="12"/>
  <c r="AS24" i="12"/>
  <c r="AT24" i="12" s="1"/>
  <c r="AM24" i="12"/>
  <c r="AN24" i="12" s="1"/>
  <c r="AH24" i="12"/>
  <c r="AI24" i="12" s="1"/>
  <c r="AC24" i="12"/>
  <c r="V24" i="12"/>
  <c r="W24" i="12" s="1"/>
  <c r="P24" i="12"/>
  <c r="Q24" i="12" s="1"/>
  <c r="M24" i="12"/>
  <c r="AS23" i="12"/>
  <c r="AT23" i="12" s="1"/>
  <c r="AM23" i="12"/>
  <c r="AN23" i="12" s="1"/>
  <c r="AH23" i="12"/>
  <c r="AI23" i="12" s="1"/>
  <c r="AC23" i="12"/>
  <c r="V23" i="12"/>
  <c r="W23" i="12" s="1"/>
  <c r="P23" i="12"/>
  <c r="Q23" i="12" s="1"/>
  <c r="M23" i="12"/>
  <c r="AS22" i="12"/>
  <c r="AT22" i="12" s="1"/>
  <c r="AM22" i="12"/>
  <c r="AN22" i="12" s="1"/>
  <c r="AH22" i="12"/>
  <c r="AI22" i="12" s="1"/>
  <c r="AC22" i="12"/>
  <c r="V22" i="12"/>
  <c r="W22" i="12" s="1"/>
  <c r="P22" i="12"/>
  <c r="Q22" i="12" s="1"/>
  <c r="M22" i="12"/>
  <c r="AS21" i="12"/>
  <c r="AT21" i="12" s="1"/>
  <c r="AM21" i="12"/>
  <c r="AN21" i="12" s="1"/>
  <c r="AH21" i="12"/>
  <c r="AI21" i="12" s="1"/>
  <c r="AC21" i="12"/>
  <c r="V21" i="12"/>
  <c r="W21" i="12" s="1"/>
  <c r="P21" i="12"/>
  <c r="Q21" i="12" s="1"/>
  <c r="M21" i="12"/>
  <c r="AM20" i="12"/>
  <c r="AN20" i="12" s="1"/>
  <c r="AH20" i="12"/>
  <c r="AI20" i="12" s="1"/>
  <c r="AC20" i="12"/>
  <c r="V20" i="12"/>
  <c r="W20" i="12" s="1"/>
  <c r="P20" i="12"/>
  <c r="Q20" i="12" s="1"/>
  <c r="M20" i="12"/>
  <c r="AS19" i="12"/>
  <c r="AT19" i="12" s="1"/>
  <c r="AM19" i="12"/>
  <c r="AN19" i="12" s="1"/>
  <c r="AH19" i="12"/>
  <c r="AI19" i="12" s="1"/>
  <c r="AC19" i="12"/>
  <c r="V19" i="12"/>
  <c r="W19" i="12" s="1"/>
  <c r="P19" i="12"/>
  <c r="Q19" i="12" s="1"/>
  <c r="M19" i="12"/>
  <c r="AS18" i="12"/>
  <c r="AT18" i="12" s="1"/>
  <c r="AM18" i="12"/>
  <c r="AN18" i="12" s="1"/>
  <c r="AH18" i="12"/>
  <c r="AI18" i="12" s="1"/>
  <c r="AC18" i="12"/>
  <c r="V18" i="12"/>
  <c r="W18" i="12" s="1"/>
  <c r="Q18" i="12"/>
  <c r="M18" i="12"/>
  <c r="AS17" i="12"/>
  <c r="AT17" i="12" s="1"/>
  <c r="AM17" i="12"/>
  <c r="AN17" i="12" s="1"/>
  <c r="AH17" i="12"/>
  <c r="AI17" i="12" s="1"/>
  <c r="AC17" i="12"/>
  <c r="V17" i="12"/>
  <c r="W17" i="12" s="1"/>
  <c r="P17" i="12"/>
  <c r="Q17" i="12" s="1"/>
  <c r="M17" i="12"/>
  <c r="AS16" i="12"/>
  <c r="AT16" i="12" s="1"/>
  <c r="AM16" i="12"/>
  <c r="AN16" i="12" s="1"/>
  <c r="AH16" i="12"/>
  <c r="AI16" i="12" s="1"/>
  <c r="AC16" i="12"/>
  <c r="V16" i="12"/>
  <c r="W16" i="12" s="1"/>
  <c r="Y16" i="12" s="1"/>
  <c r="P16" i="12"/>
  <c r="Q16" i="12" s="1"/>
  <c r="M16" i="12"/>
  <c r="AS15" i="12"/>
  <c r="AT15" i="12" s="1"/>
  <c r="AM15" i="12"/>
  <c r="AN15" i="12" s="1"/>
  <c r="AH15" i="12"/>
  <c r="AI15" i="12" s="1"/>
  <c r="AC15" i="12"/>
  <c r="AE15" i="12" s="1"/>
  <c r="V15" i="12"/>
  <c r="W15" i="12" s="1"/>
  <c r="Y15" i="12" s="1"/>
  <c r="P15" i="12"/>
  <c r="Q15" i="12" s="1"/>
  <c r="M15" i="12"/>
  <c r="AS14" i="12"/>
  <c r="AT14" i="12" s="1"/>
  <c r="AM14" i="12"/>
  <c r="AN14" i="12" s="1"/>
  <c r="AH14" i="12"/>
  <c r="AI14" i="12" s="1"/>
  <c r="AC14" i="12"/>
  <c r="V14" i="12"/>
  <c r="W14" i="12" s="1"/>
  <c r="P14" i="12"/>
  <c r="Q14" i="12" s="1"/>
  <c r="M14" i="12"/>
  <c r="AS13" i="12"/>
  <c r="AT13" i="12" s="1"/>
  <c r="AM13" i="12"/>
  <c r="AN13" i="12" s="1"/>
  <c r="AH13" i="12"/>
  <c r="AI13" i="12" s="1"/>
  <c r="AC13" i="12"/>
  <c r="V13" i="12"/>
  <c r="W13" i="12" s="1"/>
  <c r="P13" i="12"/>
  <c r="M13" i="12"/>
  <c r="S13" i="12"/>
  <c r="AS12" i="12"/>
  <c r="AT12" i="12" s="1"/>
  <c r="AM12" i="12"/>
  <c r="AN12" i="12" s="1"/>
  <c r="AH12" i="12"/>
  <c r="AI12" i="12" s="1"/>
  <c r="AC12" i="12"/>
  <c r="V12" i="12"/>
  <c r="W12" i="12" s="1"/>
  <c r="P12" i="12"/>
  <c r="Q12" i="12" s="1"/>
  <c r="M12" i="12"/>
  <c r="AI11" i="12"/>
  <c r="AC11" i="12"/>
  <c r="W11" i="12"/>
  <c r="Q11" i="12"/>
  <c r="M11" i="12"/>
  <c r="AM10" i="12"/>
  <c r="AN10" i="12" s="1"/>
  <c r="AH10" i="12"/>
  <c r="AI10" i="12" s="1"/>
  <c r="AC10" i="12"/>
  <c r="V10" i="12"/>
  <c r="W10" i="12" s="1"/>
  <c r="P10" i="12"/>
  <c r="Q10" i="12" s="1"/>
  <c r="M10" i="12"/>
  <c r="AH9" i="12"/>
  <c r="AI9" i="12" s="1"/>
  <c r="AC9" i="12"/>
  <c r="W9" i="12"/>
  <c r="P9" i="12"/>
  <c r="Q9" i="12" s="1"/>
  <c r="M9" i="12"/>
  <c r="AS8" i="12"/>
  <c r="AT8" i="12" s="1"/>
  <c r="AM8" i="12"/>
  <c r="AN8" i="12" s="1"/>
  <c r="AH8" i="12"/>
  <c r="AI8" i="12" s="1"/>
  <c r="AC8" i="12"/>
  <c r="V8" i="12"/>
  <c r="W8" i="12" s="1"/>
  <c r="P8" i="12"/>
  <c r="Q8" i="12" s="1"/>
  <c r="M8" i="12"/>
  <c r="AM7" i="12"/>
  <c r="AN7" i="12" s="1"/>
  <c r="AH7" i="12"/>
  <c r="AI7" i="12" s="1"/>
  <c r="AC7" i="12"/>
  <c r="V7" i="12"/>
  <c r="W7" i="12" s="1"/>
  <c r="P7" i="12"/>
  <c r="M7" i="12"/>
  <c r="S7" i="12"/>
  <c r="AM6" i="12"/>
  <c r="AN6" i="12" s="1"/>
  <c r="AH6" i="12"/>
  <c r="AI6" i="12" s="1"/>
  <c r="AC6" i="12"/>
  <c r="V6" i="12"/>
  <c r="W6" i="12" s="1"/>
  <c r="P6" i="12"/>
  <c r="M6" i="12"/>
  <c r="AM5" i="12"/>
  <c r="AN5" i="12" s="1"/>
  <c r="AH5" i="12"/>
  <c r="AI5" i="12" s="1"/>
  <c r="AC5" i="12"/>
  <c r="V5" i="12"/>
  <c r="W5" i="12" s="1"/>
  <c r="P5" i="12"/>
  <c r="Q5" i="12" s="1"/>
  <c r="M5" i="12"/>
  <c r="E14" i="2"/>
  <c r="S2" i="16" l="1"/>
  <c r="R1" i="16"/>
  <c r="I8" i="12"/>
  <c r="I13" i="12"/>
  <c r="I9" i="12"/>
  <c r="I11" i="12"/>
  <c r="I7" i="12"/>
  <c r="I10" i="12"/>
  <c r="I21" i="12"/>
  <c r="I22" i="12"/>
  <c r="I23" i="12"/>
  <c r="I24" i="12"/>
  <c r="I26" i="12"/>
  <c r="I27" i="12"/>
  <c r="I28" i="12"/>
  <c r="I29" i="12"/>
  <c r="I30" i="12"/>
  <c r="I6" i="12"/>
  <c r="I12" i="12"/>
  <c r="I14" i="12"/>
  <c r="I15" i="12"/>
  <c r="I16" i="12"/>
  <c r="I17" i="12"/>
  <c r="I18" i="12"/>
  <c r="I19" i="12"/>
  <c r="I20" i="12"/>
  <c r="S17" i="12"/>
  <c r="Y17" i="12" s="1"/>
  <c r="AE17" i="12" s="1"/>
  <c r="AK17" i="12" s="1"/>
  <c r="AP17" i="12" s="1"/>
  <c r="AV17" i="12" s="1"/>
  <c r="Y7" i="12"/>
  <c r="AE7" i="12" s="1"/>
  <c r="AK7" i="12" s="1"/>
  <c r="AP7" i="12" s="1"/>
  <c r="AV7" i="12" s="1"/>
  <c r="S26" i="12"/>
  <c r="Y26" i="12" s="1"/>
  <c r="AE26" i="12" s="1"/>
  <c r="AK26" i="12" s="1"/>
  <c r="AP26" i="12" s="1"/>
  <c r="AV26" i="12" s="1"/>
  <c r="S28" i="12"/>
  <c r="Y28" i="12" s="1"/>
  <c r="AE28" i="12" s="1"/>
  <c r="AK28" i="12" s="1"/>
  <c r="AP28" i="12" s="1"/>
  <c r="AV28" i="12" s="1"/>
  <c r="S11" i="12"/>
  <c r="Y11" i="12" s="1"/>
  <c r="AE11" i="12" s="1"/>
  <c r="AK11" i="12" s="1"/>
  <c r="AP11" i="12" s="1"/>
  <c r="AV11" i="12" s="1"/>
  <c r="S12" i="12"/>
  <c r="Y12" i="12" s="1"/>
  <c r="AE12" i="12" s="1"/>
  <c r="AK12" i="12" s="1"/>
  <c r="AP12" i="12" s="1"/>
  <c r="AV12" i="12" s="1"/>
  <c r="AX14" i="12"/>
  <c r="AY14" i="12" s="1"/>
  <c r="S19" i="12"/>
  <c r="Y19" i="12" s="1"/>
  <c r="AE19" i="12" s="1"/>
  <c r="AK19" i="12" s="1"/>
  <c r="AP19" i="12" s="1"/>
  <c r="AV19" i="12" s="1"/>
  <c r="AX18" i="12"/>
  <c r="AY18" i="12" s="1"/>
  <c r="Y13" i="12"/>
  <c r="AE13" i="12" s="1"/>
  <c r="AK13" i="12" s="1"/>
  <c r="AP13" i="12" s="1"/>
  <c r="AV13" i="12" s="1"/>
  <c r="AX21" i="12"/>
  <c r="AY21" i="12" s="1"/>
  <c r="AZ21" i="12" s="1"/>
  <c r="AX30" i="12"/>
  <c r="AX8" i="12"/>
  <c r="AK15" i="12"/>
  <c r="AP15" i="12" s="1"/>
  <c r="AV15" i="12" s="1"/>
  <c r="AX24" i="12"/>
  <c r="AX19" i="12"/>
  <c r="AY19" i="12" s="1"/>
  <c r="AZ19" i="12" s="1"/>
  <c r="S24" i="12"/>
  <c r="Y24" i="12" s="1"/>
  <c r="AE24" i="12" s="1"/>
  <c r="AK24" i="12" s="1"/>
  <c r="AP24" i="12" s="1"/>
  <c r="AV24" i="12" s="1"/>
  <c r="AX28" i="12"/>
  <c r="AY28" i="12" s="1"/>
  <c r="W31" i="12"/>
  <c r="W32" i="12" s="1"/>
  <c r="W33" i="12" s="1"/>
  <c r="S8" i="12"/>
  <c r="Y8" i="12" s="1"/>
  <c r="AE8" i="12" s="1"/>
  <c r="AK8" i="12" s="1"/>
  <c r="AP8" i="12" s="1"/>
  <c r="AV8" i="12" s="1"/>
  <c r="AX12" i="12"/>
  <c r="AY12" i="12" s="1"/>
  <c r="AZ12" i="12" s="1"/>
  <c r="AX13" i="12"/>
  <c r="AY13" i="12" s="1"/>
  <c r="AZ13" i="12" s="1"/>
  <c r="S16" i="12"/>
  <c r="AX17" i="12"/>
  <c r="AY17" i="12" s="1"/>
  <c r="AZ17" i="12" s="1"/>
  <c r="AX22" i="12"/>
  <c r="AX26" i="12"/>
  <c r="AY26" i="12" s="1"/>
  <c r="J22" i="14"/>
  <c r="J22" i="13"/>
  <c r="S6" i="12"/>
  <c r="Y6" i="12" s="1"/>
  <c r="AE6" i="12" s="1"/>
  <c r="AK6" i="12" s="1"/>
  <c r="AP6" i="12" s="1"/>
  <c r="AV6" i="12" s="1"/>
  <c r="AX6" i="12"/>
  <c r="AY6" i="12" s="1"/>
  <c r="AZ6" i="12" s="1"/>
  <c r="AX7" i="12"/>
  <c r="AY7" i="12" s="1"/>
  <c r="AZ7" i="12" s="1"/>
  <c r="AN31" i="12"/>
  <c r="D18" i="2" s="1"/>
  <c r="AC31" i="12"/>
  <c r="AX5" i="12"/>
  <c r="Q31" i="12"/>
  <c r="AI31" i="12"/>
  <c r="AY8" i="12"/>
  <c r="AX9" i="12"/>
  <c r="AY9" i="12" s="1"/>
  <c r="AX29" i="12"/>
  <c r="S10" i="12"/>
  <c r="Y10" i="12" s="1"/>
  <c r="AE10" i="12" s="1"/>
  <c r="AK10" i="12" s="1"/>
  <c r="AP10" i="12" s="1"/>
  <c r="S29" i="12"/>
  <c r="Y29" i="12" s="1"/>
  <c r="AE29" i="12" s="1"/>
  <c r="AK29" i="12" s="1"/>
  <c r="AP29" i="12" s="1"/>
  <c r="AV29" i="12" s="1"/>
  <c r="M31" i="12"/>
  <c r="AX15" i="12"/>
  <c r="AY15" i="12" s="1"/>
  <c r="AX25" i="12"/>
  <c r="AY25" i="12" s="1"/>
  <c r="AX20" i="12"/>
  <c r="AY20" i="12" s="1"/>
  <c r="AZ20" i="12" s="1"/>
  <c r="S5" i="12"/>
  <c r="Y5" i="12" s="1"/>
  <c r="AE5" i="12" s="1"/>
  <c r="AK5" i="12" s="1"/>
  <c r="AP5" i="12" s="1"/>
  <c r="AV5" i="12" s="1"/>
  <c r="S20" i="12"/>
  <c r="Y20" i="12" s="1"/>
  <c r="AE20" i="12" s="1"/>
  <c r="AK20" i="12" s="1"/>
  <c r="AP20" i="12" s="1"/>
  <c r="AV20" i="12" s="1"/>
  <c r="AX27" i="12"/>
  <c r="S9" i="12"/>
  <c r="Y9" i="12" s="1"/>
  <c r="AE9" i="12" s="1"/>
  <c r="AK9" i="12" s="1"/>
  <c r="AP9" i="12" s="1"/>
  <c r="AV9" i="12" s="1"/>
  <c r="AX11" i="12"/>
  <c r="AY11" i="12" s="1"/>
  <c r="AZ11" i="12" s="1"/>
  <c r="S15" i="12"/>
  <c r="AX16" i="12"/>
  <c r="AY16" i="12" s="1"/>
  <c r="AE16" i="12"/>
  <c r="AK16" i="12" s="1"/>
  <c r="AP16" i="12" s="1"/>
  <c r="AV16" i="12" s="1"/>
  <c r="S18" i="12"/>
  <c r="Y18" i="12" s="1"/>
  <c r="AE18" i="12" s="1"/>
  <c r="AK18" i="12" s="1"/>
  <c r="AP18" i="12" s="1"/>
  <c r="AV18" i="12" s="1"/>
  <c r="S21" i="12"/>
  <c r="Y21" i="12" s="1"/>
  <c r="AE21" i="12" s="1"/>
  <c r="AK21" i="12" s="1"/>
  <c r="AP21" i="12" s="1"/>
  <c r="AV21" i="12" s="1"/>
  <c r="S22" i="12"/>
  <c r="Y22" i="12" s="1"/>
  <c r="AE22" i="12" s="1"/>
  <c r="AK22" i="12" s="1"/>
  <c r="AP22" i="12" s="1"/>
  <c r="AV22" i="12" s="1"/>
  <c r="AX23" i="12"/>
  <c r="AY23" i="12" s="1"/>
  <c r="S25" i="12"/>
  <c r="Y25" i="12" s="1"/>
  <c r="AE25" i="12" s="1"/>
  <c r="AK25" i="12" s="1"/>
  <c r="AP25" i="12" s="1"/>
  <c r="AV25" i="12" s="1"/>
  <c r="S30" i="12"/>
  <c r="Y30" i="12" s="1"/>
  <c r="AE30" i="12" s="1"/>
  <c r="AK30" i="12" s="1"/>
  <c r="AP30" i="12" s="1"/>
  <c r="AV30" i="12" s="1"/>
  <c r="S14" i="12"/>
  <c r="Y14" i="12" s="1"/>
  <c r="AE14" i="12" s="1"/>
  <c r="AK14" i="12" s="1"/>
  <c r="AP14" i="12" s="1"/>
  <c r="AV14" i="12" s="1"/>
  <c r="S23" i="12"/>
  <c r="Y23" i="12" s="1"/>
  <c r="AE23" i="12" s="1"/>
  <c r="AK23" i="12" s="1"/>
  <c r="AP23" i="12" s="1"/>
  <c r="AV23" i="12" s="1"/>
  <c r="S27" i="12"/>
  <c r="Y27" i="12" s="1"/>
  <c r="AE27" i="12" s="1"/>
  <c r="AK27" i="12" s="1"/>
  <c r="AP27" i="12" s="1"/>
  <c r="AV27" i="12" s="1"/>
  <c r="T2" i="16" l="1"/>
  <c r="S1" i="16"/>
  <c r="AZ16" i="12"/>
  <c r="BG25" i="12"/>
  <c r="BL25" i="12"/>
  <c r="AZ8" i="12"/>
  <c r="BG23" i="12"/>
  <c r="BL23" i="12"/>
  <c r="AZ9" i="12"/>
  <c r="BG26" i="12"/>
  <c r="BL26" i="12"/>
  <c r="BG28" i="12"/>
  <c r="BL28" i="12"/>
  <c r="AZ14" i="12"/>
  <c r="AZ15" i="12"/>
  <c r="AZ18" i="12"/>
  <c r="AY22" i="12"/>
  <c r="AY30" i="12"/>
  <c r="AY27" i="12"/>
  <c r="AZ25" i="12"/>
  <c r="AZ23" i="12"/>
  <c r="AZ26" i="12"/>
  <c r="AZ28" i="12"/>
  <c r="AY24" i="12"/>
  <c r="AY29" i="12"/>
  <c r="AY5" i="12"/>
  <c r="AZ5" i="12" s="1"/>
  <c r="AI32" i="12"/>
  <c r="AI33" i="12" s="1"/>
  <c r="M32" i="12"/>
  <c r="M33" i="12" s="1"/>
  <c r="Q32" i="12"/>
  <c r="Q33" i="12" s="1"/>
  <c r="AN32" i="12"/>
  <c r="AN33" i="12" s="1"/>
  <c r="AC32" i="12"/>
  <c r="S31" i="12"/>
  <c r="U2" i="16" l="1"/>
  <c r="T1" i="16"/>
  <c r="AZ24" i="12"/>
  <c r="BL14" i="12"/>
  <c r="BG14" i="12"/>
  <c r="BM23" i="12"/>
  <c r="BP23" i="12"/>
  <c r="BQ23" i="12" s="1"/>
  <c r="AZ27" i="12"/>
  <c r="AZ30" i="12"/>
  <c r="BG15" i="12"/>
  <c r="BL15" i="12"/>
  <c r="BM28" i="12"/>
  <c r="BP28" i="12"/>
  <c r="BQ28" i="12" s="1"/>
  <c r="BG9" i="12"/>
  <c r="BL9" i="12"/>
  <c r="BG8" i="12"/>
  <c r="BL8" i="12"/>
  <c r="BL16" i="12"/>
  <c r="BG16" i="12"/>
  <c r="BL18" i="12"/>
  <c r="BG18" i="12"/>
  <c r="BM26" i="12"/>
  <c r="BP26" i="12"/>
  <c r="BQ26" i="12" s="1"/>
  <c r="BM25" i="12"/>
  <c r="BP25" i="12"/>
  <c r="BQ25" i="12" s="1"/>
  <c r="AZ29" i="12"/>
  <c r="AZ22" i="12"/>
  <c r="AX32" i="12"/>
  <c r="AY32" i="12" s="1"/>
  <c r="G33" i="12"/>
  <c r="A5" i="12" s="1"/>
  <c r="Y31" i="12"/>
  <c r="S32" i="12"/>
  <c r="S33" i="12" s="1"/>
  <c r="AC33" i="12"/>
  <c r="V2" i="16" l="1"/>
  <c r="U1" i="16"/>
  <c r="BP9" i="12"/>
  <c r="BQ9" i="12" s="1"/>
  <c r="BM9" i="12"/>
  <c r="BG27" i="12"/>
  <c r="BL27" i="12"/>
  <c r="BG22" i="12"/>
  <c r="BL22" i="12"/>
  <c r="BM8" i="12"/>
  <c r="BP8" i="12"/>
  <c r="BQ8" i="12" s="1"/>
  <c r="BL30" i="12"/>
  <c r="BG30" i="12"/>
  <c r="BL24" i="12"/>
  <c r="BG24" i="12"/>
  <c r="BG29" i="12"/>
  <c r="BL29" i="12"/>
  <c r="BM15" i="12"/>
  <c r="BP15" i="12"/>
  <c r="BQ15" i="12" s="1"/>
  <c r="BP16" i="12"/>
  <c r="BQ16" i="12" s="1"/>
  <c r="BM16" i="12"/>
  <c r="BM14" i="12"/>
  <c r="BP14" i="12"/>
  <c r="BQ14" i="12" s="1"/>
  <c r="BM18" i="12"/>
  <c r="BP18" i="12"/>
  <c r="BQ18" i="12" s="1"/>
  <c r="BG31" i="12"/>
  <c r="D20" i="2" s="1"/>
  <c r="Y32" i="12"/>
  <c r="Y33" i="12" s="1"/>
  <c r="AE31" i="12"/>
  <c r="W2" i="16" l="1"/>
  <c r="V1" i="16"/>
  <c r="E20" i="2"/>
  <c r="F20" i="2" s="1"/>
  <c r="BM27" i="12"/>
  <c r="BP27" i="12"/>
  <c r="BQ27" i="12" s="1"/>
  <c r="BP24" i="12"/>
  <c r="BQ24" i="12" s="1"/>
  <c r="BM24" i="12"/>
  <c r="BM29" i="12"/>
  <c r="BP29" i="12"/>
  <c r="BQ29" i="12" s="1"/>
  <c r="BP22" i="12"/>
  <c r="BQ22" i="12" s="1"/>
  <c r="BM22" i="12"/>
  <c r="BQ31" i="12"/>
  <c r="D22" i="2" s="1"/>
  <c r="E22" i="2" s="1"/>
  <c r="F22" i="2" s="1"/>
  <c r="BG32" i="12"/>
  <c r="BG33" i="12" s="1"/>
  <c r="BM31" i="12"/>
  <c r="D21" i="2" s="1"/>
  <c r="E21" i="2" s="1"/>
  <c r="F21" i="2" s="1"/>
  <c r="BM30" i="12"/>
  <c r="BP30" i="12"/>
  <c r="BQ30" i="12" s="1"/>
  <c r="AK31" i="12"/>
  <c r="AE32" i="12"/>
  <c r="AZ32" i="12" s="1"/>
  <c r="X2" i="16" l="1"/>
  <c r="W1" i="16"/>
  <c r="BQ32" i="12"/>
  <c r="BQ33" i="12" s="1"/>
  <c r="BM32" i="12"/>
  <c r="BM33" i="12" s="1"/>
  <c r="AK32" i="12"/>
  <c r="AK33" i="12" s="1"/>
  <c r="AP31" i="12"/>
  <c r="AE33" i="12"/>
  <c r="Y2" i="16" l="1"/>
  <c r="X1" i="16"/>
  <c r="AP32" i="12"/>
  <c r="AP33" i="12" s="1"/>
  <c r="Z2" i="16" l="1"/>
  <c r="Y1" i="16"/>
  <c r="F14" i="2"/>
  <c r="AA2" i="16" l="1"/>
  <c r="Z1" i="16"/>
  <c r="E8" i="2"/>
  <c r="F8" i="2" s="1"/>
  <c r="AB2" i="16" l="1"/>
  <c r="AA1" i="16"/>
  <c r="F19" i="9"/>
  <c r="I22" i="9"/>
  <c r="G12" i="9"/>
  <c r="G11" i="9"/>
  <c r="G10" i="9"/>
  <c r="G9" i="9"/>
  <c r="F9" i="9"/>
  <c r="AC2" i="16" l="1"/>
  <c r="AB1" i="16"/>
  <c r="F17" i="9"/>
  <c r="AD2" i="16" l="1"/>
  <c r="AC1" i="16"/>
  <c r="F22" i="9"/>
  <c r="H22" i="9" s="1"/>
  <c r="J22" i="9" s="1"/>
  <c r="AE2" i="16" l="1"/>
  <c r="AD1" i="16"/>
  <c r="E18" i="2"/>
  <c r="E17" i="2"/>
  <c r="F17" i="2" s="1"/>
  <c r="F10" i="2"/>
  <c r="AF2" i="16" l="1"/>
  <c r="AE1" i="16"/>
  <c r="E15" i="2"/>
  <c r="F18" i="2"/>
  <c r="AG2" i="16" l="1"/>
  <c r="AF1" i="16"/>
  <c r="F15" i="2"/>
  <c r="E16" i="2"/>
  <c r="AH2" i="16" l="1"/>
  <c r="AG1" i="16"/>
  <c r="F16" i="2"/>
  <c r="AI2" i="16" l="1"/>
  <c r="AH1" i="16"/>
  <c r="AT31" i="12"/>
  <c r="D19" i="2" s="1"/>
  <c r="AJ2" i="16" l="1"/>
  <c r="AI1" i="16"/>
  <c r="E19" i="2"/>
  <c r="F19" i="2"/>
  <c r="AV31" i="12"/>
  <c r="AT32" i="12"/>
  <c r="AX31" i="12"/>
  <c r="AV10" i="12"/>
  <c r="AX10" i="12"/>
  <c r="AY10" i="12" s="1"/>
  <c r="F23" i="2" l="1"/>
  <c r="F24" i="2" s="1"/>
  <c r="F27" i="2" s="1"/>
  <c r="AJ1" i="16"/>
  <c r="AK2" i="16"/>
  <c r="AT33" i="12"/>
  <c r="AX33" i="12" s="1"/>
  <c r="AY33" i="12" s="1"/>
  <c r="AZ33" i="12" s="1"/>
  <c r="AZ10" i="12"/>
  <c r="AY31" i="12"/>
  <c r="AZ31" i="12" s="1"/>
  <c r="AV32" i="12"/>
  <c r="AV33" i="12" s="1"/>
  <c r="AL2" i="16" l="1"/>
  <c r="AK1" i="16"/>
  <c r="AM2" i="16" l="1"/>
  <c r="AL1" i="16"/>
  <c r="AN2" i="16" l="1"/>
  <c r="AM1" i="16"/>
  <c r="AO2" i="16" l="1"/>
  <c r="AN1" i="16"/>
  <c r="AP2" i="16" l="1"/>
  <c r="AO1" i="16"/>
  <c r="AQ2" i="16" l="1"/>
  <c r="AP1" i="16"/>
  <c r="AR2" i="16" l="1"/>
  <c r="AQ1" i="16"/>
  <c r="AS2" i="16" l="1"/>
  <c r="AR1" i="16"/>
  <c r="AT2" i="16" l="1"/>
  <c r="AS1" i="16"/>
  <c r="AU2" i="16" l="1"/>
  <c r="AT1" i="16"/>
  <c r="AV2" i="16" l="1"/>
  <c r="AU1" i="16"/>
  <c r="AV1" i="16" l="1"/>
  <c r="AW2" i="16"/>
  <c r="AW1" i="16" l="1"/>
  <c r="AX2" i="16"/>
  <c r="AX1" i="16" l="1"/>
  <c r="AY2" i="16"/>
  <c r="AY1" i="16" l="1"/>
  <c r="AZ2" i="16"/>
  <c r="AZ1" i="16" l="1"/>
  <c r="BA2" i="16"/>
  <c r="BA1" i="16" l="1"/>
  <c r="BB2" i="16"/>
  <c r="BB1" i="16" l="1"/>
  <c r="BC2" i="16"/>
  <c r="BC1" i="16" l="1"/>
  <c r="BD2" i="16"/>
  <c r="BD1" i="16" l="1"/>
  <c r="BE2" i="16"/>
  <c r="BE1" i="16" l="1"/>
  <c r="BF2" i="16"/>
  <c r="BF1" i="16" l="1"/>
  <c r="BG2" i="16"/>
  <c r="BH2" i="16" l="1"/>
  <c r="BG1" i="16"/>
  <c r="BH1" i="16" l="1"/>
  <c r="BI2" i="16"/>
  <c r="BI1" i="16" l="1"/>
  <c r="BJ2" i="16"/>
  <c r="BJ1" i="16" l="1"/>
  <c r="BK2" i="16"/>
  <c r="BK1" i="16" l="1"/>
  <c r="BL2" i="16"/>
  <c r="BM2" i="16" l="1"/>
  <c r="BL1" i="16"/>
  <c r="BM1" i="16" l="1"/>
  <c r="BN2" i="16"/>
  <c r="BN1" i="16" l="1"/>
  <c r="BO2" i="16"/>
  <c r="BO1" i="16" l="1"/>
  <c r="BP2" i="16"/>
  <c r="BQ2" i="16" l="1"/>
  <c r="BP1" i="16"/>
  <c r="BQ1" i="16" l="1"/>
  <c r="BR2" i="16"/>
  <c r="BS2" i="16" l="1"/>
  <c r="BR1" i="16"/>
  <c r="BS1" i="16" l="1"/>
  <c r="BT2" i="16"/>
  <c r="BU2" i="16" l="1"/>
  <c r="BT1" i="16"/>
  <c r="BV2" i="16" l="1"/>
  <c r="BU1" i="16"/>
  <c r="BV1" i="16" l="1"/>
  <c r="BW2" i="16"/>
  <c r="BW1" i="16" l="1"/>
  <c r="BX2" i="16"/>
  <c r="BX1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Luz Eneida Gomez</author>
  </authors>
  <commentList>
    <comment ref="D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15" authorId="0" shapeId="0" xr:uid="{7946A05A-2706-4EF4-AD2D-5BEB4E64FAF9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16" authorId="0" shapeId="0" xr:uid="{065669F2-EBAE-4044-82BA-E9A03521FB6E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17" authorId="0" shapeId="0" xr:uid="{0CA11C66-49C6-43BB-881C-7C0D942E4445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18" authorId="0" shapeId="0" xr:uid="{DB1798C7-FA83-407D-BF24-D798C698A0B3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19" authorId="0" shapeId="0" xr:uid="{261A0E90-E707-4234-A857-927AEE590378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  <comment ref="D20" authorId="0" shapeId="0" xr:uid="{FDE91A0E-9280-4904-8761-75E03BCC7B08}">
      <text>
        <r>
          <rPr>
            <b/>
            <sz val="9"/>
            <color indexed="81"/>
            <rFont val="Tahoma"/>
            <family val="2"/>
          </rPr>
          <t>Luz Eneida Gomez:</t>
        </r>
        <r>
          <rPr>
            <sz val="9"/>
            <color indexed="81"/>
            <rFont val="Tahoma"/>
            <family val="2"/>
          </rPr>
          <t xml:space="preserve">
se toma valor del archivo de control de facruracion alfresco site operación del servicio</t>
        </r>
      </text>
    </comment>
  </commentList>
</comments>
</file>

<file path=xl/sharedStrings.xml><?xml version="1.0" encoding="utf-8"?>
<sst xmlns="http://schemas.openxmlformats.org/spreadsheetml/2006/main" count="328" uniqueCount="147">
  <si>
    <t xml:space="preserve">PERFIL: </t>
  </si>
  <si>
    <t>AGENTES PROFESIONAL CONTRADOS PARA LABORAR</t>
  </si>
  <si>
    <t>VALOR UNITARIO ANTES DE IVA</t>
  </si>
  <si>
    <t>Esta tabla es de apoyo cuando se deben facturar agentes prorrateados</t>
  </si>
  <si>
    <t>Psicologo</t>
  </si>
  <si>
    <t>DESGLOSE DIAS LABORADOS POR COLABORADOR</t>
  </si>
  <si>
    <t>TOTAL AGENTES</t>
  </si>
  <si>
    <t>DIAS GESTIÓN POR AGENTE</t>
  </si>
  <si>
    <t xml:space="preserve"> DIAS  LABORADOS</t>
  </si>
  <si>
    <t>Agentes con 30 días laborados</t>
  </si>
  <si>
    <t>DIAS LABORADOS POR LA OPERACIÓN</t>
  </si>
  <si>
    <t>DIAS ESPERADOS A LABORAR OPERACIÓN COMPLETA COMPLETA</t>
  </si>
  <si>
    <t>REDONDEO:</t>
  </si>
  <si>
    <t xml:space="preserve">VALOR POR AGENTE </t>
  </si>
  <si>
    <t>TOTAL A FACT POR PERFIL</t>
  </si>
  <si>
    <t xml:space="preserve">AGENTES A FACTURAR </t>
  </si>
  <si>
    <t>Supervisor</t>
  </si>
  <si>
    <t>Abogado</t>
  </si>
  <si>
    <t>CALMA</t>
  </si>
  <si>
    <t>Fecha de Emisión</t>
  </si>
  <si>
    <t>contrato 420</t>
  </si>
  <si>
    <t>Fecha de Vencimiento</t>
  </si>
  <si>
    <t xml:space="preserve">Inicio de Operación </t>
  </si>
  <si>
    <t>VALOR SIN IVA</t>
  </si>
  <si>
    <t>IVA</t>
  </si>
  <si>
    <t>TOTAL CON IVA</t>
  </si>
  <si>
    <t>OC INCIAL</t>
  </si>
  <si>
    <t>ADICIÓN</t>
  </si>
  <si>
    <t xml:space="preserve">TOTAL </t>
  </si>
  <si>
    <t># de factura</t>
  </si>
  <si>
    <t>Mes de Facturación</t>
  </si>
  <si>
    <t>Valor antes de IVA</t>
  </si>
  <si>
    <t>Valor con IVA</t>
  </si>
  <si>
    <t>Valor Total</t>
  </si>
  <si>
    <t>SBPM1153</t>
  </si>
  <si>
    <t>Abril</t>
  </si>
  <si>
    <t>SBPM1155</t>
  </si>
  <si>
    <t>Mayo</t>
  </si>
  <si>
    <t>SBPM1326</t>
  </si>
  <si>
    <t>Junio</t>
  </si>
  <si>
    <t>Julio</t>
  </si>
  <si>
    <t>Agosto</t>
  </si>
  <si>
    <t>Agente de 8- 5</t>
  </si>
  <si>
    <t>Total Contrada</t>
  </si>
  <si>
    <t>Capacidad Contratada mensual</t>
  </si>
  <si>
    <t>Capacidad Ejecutada ABRIL</t>
  </si>
  <si>
    <t>Total Por ejecutar</t>
  </si>
  <si>
    <t>Capacidad Ejecutada MAYO</t>
  </si>
  <si>
    <t>Capacidad Ejecutada JUNIO</t>
  </si>
  <si>
    <t>Capacidad Ejecutada JULIO</t>
  </si>
  <si>
    <t>Capacidad Ejecutada Agosto</t>
  </si>
  <si>
    <t>Capacidad Ejecutada Septiembre</t>
  </si>
  <si>
    <t>Capacidad Ejecutada Noviembre</t>
  </si>
  <si>
    <t>Capacidad Ejecutada Diciembre</t>
  </si>
  <si>
    <t>Capacidad Ejecutada enero 2024</t>
  </si>
  <si>
    <t xml:space="preserve">VALOR DEL CONTRATO </t>
  </si>
  <si>
    <t>Item</t>
  </si>
  <si>
    <t xml:space="preserve">SERVICIO </t>
  </si>
  <si>
    <t>Cantidad Orden de Compra</t>
  </si>
  <si>
    <t>Plazo</t>
  </si>
  <si>
    <t>Total Orden de Compra</t>
  </si>
  <si>
    <t xml:space="preserve">Mes </t>
  </si>
  <si>
    <t>Valor Unitario</t>
  </si>
  <si>
    <t xml:space="preserve">Valor Total </t>
  </si>
  <si>
    <t xml:space="preserve">CANTIDAD MENSUAL </t>
  </si>
  <si>
    <t xml:space="preserve">VALOR UNITARIO 2023 </t>
  </si>
  <si>
    <t>Cantidad Ejecutada</t>
  </si>
  <si>
    <t>Cantidad por ejecutar</t>
  </si>
  <si>
    <t>Diferencia</t>
  </si>
  <si>
    <t>EQUIPO HUMANO</t>
  </si>
  <si>
    <t>Profesionales Operadores de los Servicios de Llamada y de Acompañamiento Psicoeducativo</t>
  </si>
  <si>
    <t>Coordinador de la operación y de calidad de la Línea Calma</t>
  </si>
  <si>
    <t>Profesional de asesoría jurídico y legal Línea Calma</t>
  </si>
  <si>
    <t>Formadora experta en metodología del enfoque de cultura ciudadana para la atención emocional de hombres</t>
  </si>
  <si>
    <t>SISTEMA DE CAPTURA DE INFORMACIÓN</t>
  </si>
  <si>
    <t>Horas de desarrollo para el ajuste del software de captura de información</t>
  </si>
  <si>
    <t>Sistema de captura de información</t>
  </si>
  <si>
    <t>SERVICIOS DE COMUNICACIÓN</t>
  </si>
  <si>
    <t>Cargo PRI (Primary Rate Interface) - consumo del canal ilimitado</t>
  </si>
  <si>
    <t>Minutos de comunicación celulares - Outbound</t>
  </si>
  <si>
    <t>Bolsa de Minutos de Cobro revertido  - Línea 01800</t>
  </si>
  <si>
    <t>Minuto adicional de Cobro  revertido - Línea 01800</t>
  </si>
  <si>
    <t>Minutos IVR - Audio texto </t>
  </si>
  <si>
    <t>Servicio Call Back para  horarios de atención </t>
  </si>
  <si>
    <t>Servicio de Avantel</t>
  </si>
  <si>
    <t>GASTOS ADMINISTRATIVOS</t>
  </si>
  <si>
    <t>Copias e Impresiones</t>
  </si>
  <si>
    <t>Salón de reuniones</t>
  </si>
  <si>
    <t>Sala de consultas para el servicio de Acompañamiento Psicoeducativo</t>
  </si>
  <si>
    <t>Puesto de trabajo con dotación completa para coordinador SCRD</t>
  </si>
  <si>
    <t>ÍTEMS ADICIONALES</t>
  </si>
  <si>
    <t xml:space="preserve">Bolsa de 20,000 minutos, de cobro revertido de llamadas a una línea código corto desde celular en todos los operadores o teléfono fijo. Este servicio permite a los ciudadanos llamar de manera gratuita a la Línea. </t>
  </si>
  <si>
    <t xml:space="preserve">Este servicio comprende los minutos adicionales que se llegaren a consumir por encima de bolsa de 20,000 minutos contratada. </t>
  </si>
  <si>
    <t xml:space="preserve">Este IVR Transaccional permite que el sistema cargue la información del usuario (nombre, cédula, dirección, teléfono) cuando éste digite la cédula y que esté disponible para el profesional que atienda la llamada. </t>
  </si>
  <si>
    <t xml:space="preserve">Este servicio de recepción de llamadas registra las llamadas y audios de usuarios que llamen a la Línea en horarios de no atención. </t>
  </si>
  <si>
    <t>Servicio de envío de mensajes cortos de SMS a los teléfonos celulares definidos por la Entidad.</t>
  </si>
  <si>
    <t>Envío masivo de mensajes de correos electrónicos a un listado de destinatarios específico.</t>
  </si>
  <si>
    <t>Servicio que permite brindar atención a los usuarios a través de la plataforma de whatsapp y que registra los datos que surjan del servicio en el sistema de captura de información</t>
  </si>
  <si>
    <t xml:space="preserve">Servicio de atención multicampaña (10 agentes)  a traves de whatsaap.  </t>
  </si>
  <si>
    <t>Bases de datos de 27,000 hombres habitantes de la ciudad de  para envío de mensajes SMS a teléfonos celulares y/o panel virtual</t>
  </si>
  <si>
    <t>Total</t>
  </si>
  <si>
    <t>Subtotal</t>
  </si>
  <si>
    <t>TOTAL</t>
  </si>
  <si>
    <t>Cantidad ejecutada</t>
  </si>
  <si>
    <t>% de ejecución</t>
  </si>
  <si>
    <t>SBPM1826</t>
  </si>
  <si>
    <t>SBPM1827</t>
  </si>
  <si>
    <t>Septiembre</t>
  </si>
  <si>
    <t>Octubre</t>
  </si>
  <si>
    <t>Noviembre</t>
  </si>
  <si>
    <t>Aclarar Valor de la Adición</t>
  </si>
  <si>
    <t>AGENTES</t>
  </si>
  <si>
    <t xml:space="preserve">Valor </t>
  </si>
  <si>
    <t>Leidy  Paola Murcia Franco</t>
  </si>
  <si>
    <t>Maria Camila Romero Rios</t>
  </si>
  <si>
    <t>Lina   Suarez Castro</t>
  </si>
  <si>
    <t>Angelica Maria  Pinilla Gomez</t>
  </si>
  <si>
    <t>Luz Virginia Gomez Morales</t>
  </si>
  <si>
    <t>Daniela  Onofre Nuñez</t>
  </si>
  <si>
    <t>Ramon Ricardo Contecha Lloronte</t>
  </si>
  <si>
    <t>Andres Felipe Suarez Cabra</t>
  </si>
  <si>
    <t>Jaime Andres Peña  Vargas</t>
  </si>
  <si>
    <t>Daniel  Martinez Lopez</t>
  </si>
  <si>
    <t>Nicolas  Solano Abadia</t>
  </si>
  <si>
    <t>Rodrigo Oswaldo Acosta Cepeda</t>
  </si>
  <si>
    <t>Daniel Eduardo Esposito Onatra</t>
  </si>
  <si>
    <t>x</t>
  </si>
  <si>
    <t>Recurso Humano</t>
  </si>
  <si>
    <t>Agente Profesional</t>
  </si>
  <si>
    <t>Valor dia</t>
  </si>
  <si>
    <t>dias de servicio</t>
  </si>
  <si>
    <t>Valor total</t>
  </si>
  <si>
    <t>Diciembre ( 27 diciembre)</t>
  </si>
  <si>
    <t xml:space="preserve">Sobrante </t>
  </si>
  <si>
    <t>Cantidad</t>
  </si>
  <si>
    <t>Valor</t>
  </si>
  <si>
    <t>Apalancamiento de noviembre</t>
  </si>
  <si>
    <t>Apalancamiento de Diciembre</t>
  </si>
  <si>
    <t>Diciembre ( 28 diciembre a enero 14)</t>
  </si>
  <si>
    <t>Pregunta 1</t>
  </si>
  <si>
    <t>No incremento salario</t>
  </si>
  <si>
    <t>No Psicoeducativos enero</t>
  </si>
  <si>
    <t>Cumplimiento de ANS Noviembre y diciembre</t>
  </si>
  <si>
    <t>Orientacion juridica</t>
  </si>
  <si>
    <t>Capacidad Ejecutada(agrega mes)  y a columna derecha siguientes meses</t>
  </si>
  <si>
    <t>Total Orden de Compra MARZO</t>
  </si>
  <si>
    <t>CANTIDAD MENSUAL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</si>
</sst>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* #,##0.00_);_(&quot;$&quot;* \(#,##0.00\);_(&quot;$&quot;* &quot;-&quot;??_);_(@_)"/>
    <numFmt numFmtId="166" formatCode="_-&quot;$&quot;\ * #,##0_-;\-&quot;$&quot;\ * #,##0_-;_-&quot;$&quot;\ * &quot;-&quot;??_-;_-@_-"/>
    <numFmt numFmtId="167" formatCode="[$$-240A]\ #,##0"/>
    <numFmt numFmtId="168" formatCode="[$$-240A]\ #,##0.00"/>
    <numFmt numFmtId="169" formatCode="0.000"/>
    <numFmt numFmtId="170" formatCode="dd/mm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16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6"/>
      <name val="Calibri"/>
      <family val="2"/>
      <scheme val="minor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9"/>
      <color theme="0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rgb="FF92D05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  <xf numFmtId="0" fontId="13" fillId="0" borderId="0"/>
    <xf numFmtId="42" fontId="1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44" fontId="0" fillId="0" borderId="1" xfId="0" applyNumberFormat="1" applyBorder="1"/>
    <xf numFmtId="44" fontId="0" fillId="0" borderId="0" xfId="0" applyNumberFormat="1"/>
    <xf numFmtId="4" fontId="0" fillId="0" borderId="0" xfId="0" applyNumberFormat="1"/>
    <xf numFmtId="44" fontId="5" fillId="0" borderId="1" xfId="1" applyFont="1" applyBorder="1"/>
    <xf numFmtId="0" fontId="5" fillId="0" borderId="0" xfId="0" applyFont="1"/>
    <xf numFmtId="14" fontId="5" fillId="0" borderId="0" xfId="0" applyNumberFormat="1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0" fillId="6" borderId="8" xfId="0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/>
    </xf>
    <xf numFmtId="0" fontId="0" fillId="0" borderId="10" xfId="0" applyBorder="1"/>
    <xf numFmtId="0" fontId="7" fillId="0" borderId="10" xfId="0" applyFont="1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0" fontId="10" fillId="0" borderId="0" xfId="0" applyFont="1" applyAlignment="1">
      <alignment horizontal="center" vertical="center" wrapText="1"/>
    </xf>
    <xf numFmtId="42" fontId="11" fillId="4" borderId="9" xfId="4" applyFont="1" applyFill="1" applyBorder="1" applyAlignment="1">
      <alignment horizontal="center" vertical="center" wrapText="1"/>
    </xf>
    <xf numFmtId="0" fontId="3" fillId="0" borderId="0" xfId="0" applyFont="1"/>
    <xf numFmtId="42" fontId="12" fillId="4" borderId="12" xfId="4" applyFont="1" applyFill="1" applyBorder="1" applyAlignment="1">
      <alignment horizontal="center" vertical="center" wrapText="1"/>
    </xf>
    <xf numFmtId="42" fontId="12" fillId="4" borderId="13" xfId="4" applyFont="1" applyFill="1" applyBorder="1" applyAlignment="1">
      <alignment horizontal="center" vertical="center" wrapText="1"/>
    </xf>
    <xf numFmtId="42" fontId="12" fillId="4" borderId="14" xfId="4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44" fontId="0" fillId="0" borderId="16" xfId="0" applyNumberFormat="1" applyBorder="1"/>
    <xf numFmtId="44" fontId="0" fillId="0" borderId="17" xfId="1" applyFont="1" applyBorder="1"/>
    <xf numFmtId="42" fontId="11" fillId="4" borderId="6" xfId="4" applyFont="1" applyFill="1" applyBorder="1" applyAlignment="1">
      <alignment vertical="center" wrapText="1"/>
    </xf>
    <xf numFmtId="44" fontId="3" fillId="7" borderId="18" xfId="1" applyFont="1" applyFill="1" applyBorder="1" applyAlignment="1">
      <alignment horizontal="left" wrapText="1"/>
    </xf>
    <xf numFmtId="0" fontId="0" fillId="0" borderId="6" xfId="0" applyBorder="1" applyAlignment="1">
      <alignment horizontal="center" wrapText="1"/>
    </xf>
    <xf numFmtId="0" fontId="6" fillId="2" borderId="0" xfId="0" applyFont="1" applyFill="1" applyAlignment="1">
      <alignment horizontal="center" vertical="center"/>
    </xf>
    <xf numFmtId="44" fontId="6" fillId="3" borderId="5" xfId="1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44" fontId="6" fillId="3" borderId="1" xfId="1" applyFont="1" applyFill="1" applyBorder="1" applyAlignment="1">
      <alignment horizontal="center"/>
    </xf>
    <xf numFmtId="44" fontId="6" fillId="3" borderId="1" xfId="1" applyFont="1" applyFill="1" applyBorder="1"/>
    <xf numFmtId="0" fontId="0" fillId="0" borderId="0" xfId="0" applyAlignment="1">
      <alignment horizontal="left" vertical="center" wrapText="1"/>
    </xf>
    <xf numFmtId="0" fontId="18" fillId="0" borderId="21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13" borderId="0" xfId="0" applyFont="1" applyFill="1" applyAlignment="1">
      <alignment horizontal="center"/>
    </xf>
    <xf numFmtId="166" fontId="20" fillId="0" borderId="0" xfId="1" applyNumberFormat="1" applyFont="1" applyBorder="1" applyAlignment="1">
      <alignment vertical="center"/>
    </xf>
    <xf numFmtId="0" fontId="21" fillId="0" borderId="8" xfId="20" applyFont="1" applyBorder="1" applyAlignment="1" applyProtection="1">
      <alignment horizontal="center" vertical="center" wrapText="1"/>
      <protection hidden="1"/>
    </xf>
    <xf numFmtId="0" fontId="22" fillId="0" borderId="8" xfId="20" applyFont="1" applyBorder="1" applyAlignment="1" applyProtection="1">
      <alignment horizontal="center" vertical="center" wrapText="1"/>
      <protection hidden="1"/>
    </xf>
    <xf numFmtId="0" fontId="21" fillId="0" borderId="22" xfId="20" applyFont="1" applyBorder="1" applyAlignment="1" applyProtection="1">
      <alignment horizontal="center" vertical="center" wrapText="1"/>
      <protection hidden="1"/>
    </xf>
    <xf numFmtId="0" fontId="23" fillId="0" borderId="25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/>
    </xf>
    <xf numFmtId="166" fontId="20" fillId="0" borderId="8" xfId="1" applyNumberFormat="1" applyFont="1" applyBorder="1"/>
    <xf numFmtId="166" fontId="20" fillId="0" borderId="8" xfId="1" applyNumberFormat="1" applyFont="1" applyFill="1" applyBorder="1"/>
    <xf numFmtId="166" fontId="20" fillId="0" borderId="8" xfId="1" applyNumberFormat="1" applyFont="1" applyBorder="1" applyAlignment="1">
      <alignment vertical="center"/>
    </xf>
    <xf numFmtId="166" fontId="20" fillId="0" borderId="8" xfId="1" applyNumberFormat="1" applyFont="1" applyFill="1" applyBorder="1" applyAlignment="1">
      <alignment vertical="center"/>
    </xf>
    <xf numFmtId="166" fontId="20" fillId="0" borderId="22" xfId="1" applyNumberFormat="1" applyFont="1" applyFill="1" applyBorder="1" applyAlignment="1">
      <alignment vertical="center"/>
    </xf>
    <xf numFmtId="166" fontId="24" fillId="0" borderId="8" xfId="1" applyNumberFormat="1" applyFont="1" applyBorder="1" applyAlignment="1">
      <alignment vertical="center"/>
    </xf>
    <xf numFmtId="0" fontId="25" fillId="3" borderId="20" xfId="20" applyFont="1" applyFill="1" applyBorder="1" applyAlignment="1">
      <alignment horizontal="center" vertical="center"/>
    </xf>
    <xf numFmtId="168" fontId="25" fillId="3" borderId="27" xfId="20" applyNumberFormat="1" applyFont="1" applyFill="1" applyBorder="1" applyAlignment="1">
      <alignment vertical="center"/>
    </xf>
    <xf numFmtId="168" fontId="25" fillId="0" borderId="0" xfId="20" applyNumberFormat="1" applyFont="1" applyAlignment="1">
      <alignment vertical="center"/>
    </xf>
    <xf numFmtId="166" fontId="0" fillId="0" borderId="0" xfId="0" applyNumberFormat="1"/>
    <xf numFmtId="168" fontId="25" fillId="0" borderId="27" xfId="20" applyNumberFormat="1" applyFont="1" applyBorder="1" applyAlignment="1">
      <alignment vertical="center"/>
    </xf>
    <xf numFmtId="168" fontId="25" fillId="3" borderId="0" xfId="20" applyNumberFormat="1" applyFont="1" applyFill="1" applyAlignment="1">
      <alignment vertical="center"/>
    </xf>
    <xf numFmtId="168" fontId="25" fillId="0" borderId="28" xfId="20" applyNumberFormat="1" applyFont="1" applyBorder="1" applyAlignment="1">
      <alignment vertical="center"/>
    </xf>
    <xf numFmtId="167" fontId="5" fillId="0" borderId="26" xfId="0" applyNumberFormat="1" applyFont="1" applyBorder="1" applyAlignment="1">
      <alignment vertical="center"/>
    </xf>
    <xf numFmtId="44" fontId="0" fillId="16" borderId="0" xfId="0" applyNumberFormat="1" applyFill="1"/>
    <xf numFmtId="166" fontId="26" fillId="17" borderId="8" xfId="1" applyNumberFormat="1" applyFont="1" applyFill="1" applyBorder="1" applyAlignment="1">
      <alignment vertical="center"/>
    </xf>
    <xf numFmtId="44" fontId="1" fillId="0" borderId="1" xfId="1" applyFont="1" applyBorder="1"/>
    <xf numFmtId="20" fontId="0" fillId="0" borderId="0" xfId="0" applyNumberFormat="1"/>
    <xf numFmtId="3" fontId="0" fillId="0" borderId="0" xfId="0" applyNumberFormat="1"/>
    <xf numFmtId="166" fontId="0" fillId="0" borderId="0" xfId="1" applyNumberFormat="1" applyFont="1"/>
    <xf numFmtId="0" fontId="18" fillId="10" borderId="21" xfId="0" applyFont="1" applyFill="1" applyBorder="1" applyAlignment="1">
      <alignment horizontal="center"/>
    </xf>
    <xf numFmtId="10" fontId="20" fillId="0" borderId="8" xfId="21" applyNumberFormat="1" applyFont="1" applyBorder="1"/>
    <xf numFmtId="0" fontId="19" fillId="11" borderId="21" xfId="0" applyFont="1" applyFill="1" applyBorder="1"/>
    <xf numFmtId="0" fontId="22" fillId="11" borderId="8" xfId="20" applyFont="1" applyFill="1" applyBorder="1" applyAlignment="1" applyProtection="1">
      <alignment vertical="center" wrapText="1"/>
      <protection hidden="1"/>
    </xf>
    <xf numFmtId="0" fontId="21" fillId="15" borderId="8" xfId="20" applyFont="1" applyFill="1" applyBorder="1" applyAlignment="1" applyProtection="1">
      <alignment vertical="center" wrapText="1"/>
      <protection hidden="1"/>
    </xf>
    <xf numFmtId="0" fontId="18" fillId="10" borderId="21" xfId="0" applyFont="1" applyFill="1" applyBorder="1"/>
    <xf numFmtId="44" fontId="0" fillId="0" borderId="29" xfId="0" applyNumberFormat="1" applyBorder="1"/>
    <xf numFmtId="17" fontId="0" fillId="0" borderId="1" xfId="0" applyNumberFormat="1" applyBorder="1"/>
    <xf numFmtId="169" fontId="0" fillId="0" borderId="0" xfId="0" applyNumberFormat="1"/>
    <xf numFmtId="169" fontId="17" fillId="19" borderId="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1" fillId="18" borderId="8" xfId="20" applyFont="1" applyFill="1" applyBorder="1" applyAlignment="1" applyProtection="1">
      <alignment horizontal="center" vertical="center" wrapText="1"/>
      <protection hidden="1"/>
    </xf>
    <xf numFmtId="170" fontId="0" fillId="0" borderId="0" xfId="0" applyNumberFormat="1" applyAlignment="1">
      <alignment horizontal="center"/>
    </xf>
    <xf numFmtId="0" fontId="27" fillId="19" borderId="8" xfId="0" applyFont="1" applyFill="1" applyBorder="1" applyAlignment="1">
      <alignment horizontal="left"/>
    </xf>
    <xf numFmtId="166" fontId="0" fillId="0" borderId="31" xfId="1" applyNumberFormat="1" applyFont="1" applyBorder="1"/>
    <xf numFmtId="166" fontId="0" fillId="0" borderId="32" xfId="1" applyNumberFormat="1" applyFont="1" applyBorder="1"/>
    <xf numFmtId="166" fontId="0" fillId="0" borderId="34" xfId="1" applyNumberFormat="1" applyFont="1" applyBorder="1"/>
    <xf numFmtId="0" fontId="23" fillId="0" borderId="35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44" fontId="0" fillId="0" borderId="30" xfId="1" applyFont="1" applyBorder="1"/>
    <xf numFmtId="44" fontId="0" fillId="0" borderId="33" xfId="1" applyFont="1" applyBorder="1"/>
    <xf numFmtId="44" fontId="0" fillId="0" borderId="0" xfId="1" applyFont="1" applyBorder="1"/>
    <xf numFmtId="0" fontId="6" fillId="18" borderId="0" xfId="0" applyFont="1" applyFill="1" applyAlignment="1">
      <alignment horizontal="center"/>
    </xf>
    <xf numFmtId="166" fontId="0" fillId="0" borderId="0" xfId="1" applyNumberFormat="1" applyFont="1" applyBorder="1"/>
    <xf numFmtId="168" fontId="5" fillId="0" borderId="0" xfId="0" applyNumberFormat="1" applyFont="1"/>
    <xf numFmtId="44" fontId="28" fillId="0" borderId="0" xfId="0" applyNumberFormat="1" applyFont="1"/>
    <xf numFmtId="0" fontId="21" fillId="18" borderId="10" xfId="2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166" fontId="0" fillId="0" borderId="0" xfId="0" applyNumberFormat="1" applyAlignment="1">
      <alignment horizontal="center"/>
    </xf>
    <xf numFmtId="0" fontId="5" fillId="20" borderId="0" xfId="0" applyFont="1" applyFill="1" applyAlignment="1">
      <alignment horizontal="center" vertical="center" wrapText="1"/>
    </xf>
    <xf numFmtId="44" fontId="0" fillId="0" borderId="37" xfId="1" applyFont="1" applyBorder="1"/>
    <xf numFmtId="166" fontId="0" fillId="0" borderId="38" xfId="1" applyNumberFormat="1" applyFont="1" applyBorder="1"/>
    <xf numFmtId="0" fontId="0" fillId="0" borderId="3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3" xfId="0" applyBorder="1" applyAlignment="1">
      <alignment horizontal="center"/>
    </xf>
    <xf numFmtId="0" fontId="20" fillId="9" borderId="5" xfId="0" applyFont="1" applyFill="1" applyBorder="1" applyAlignment="1">
      <alignment vertical="center" wrapText="1"/>
    </xf>
    <xf numFmtId="0" fontId="0" fillId="20" borderId="0" xfId="0" applyFill="1"/>
    <xf numFmtId="167" fontId="25" fillId="3" borderId="27" xfId="20" applyNumberFormat="1" applyFont="1" applyFill="1" applyBorder="1" applyAlignment="1">
      <alignment vertical="center"/>
    </xf>
    <xf numFmtId="167" fontId="5" fillId="19" borderId="24" xfId="0" applyNumberFormat="1" applyFont="1" applyFill="1" applyBorder="1" applyAlignment="1">
      <alignment vertical="center"/>
    </xf>
    <xf numFmtId="0" fontId="25" fillId="3" borderId="27" xfId="2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42" fontId="9" fillId="2" borderId="2" xfId="4" applyFont="1" applyFill="1" applyBorder="1" applyAlignment="1">
      <alignment horizontal="center" vertical="center" wrapText="1"/>
    </xf>
    <xf numFmtId="42" fontId="9" fillId="2" borderId="7" xfId="4" applyFont="1" applyFill="1" applyBorder="1" applyAlignment="1">
      <alignment horizontal="center" vertical="center" wrapText="1"/>
    </xf>
    <xf numFmtId="42" fontId="9" fillId="2" borderId="11" xfId="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21" fillId="15" borderId="10" xfId="20" applyFont="1" applyFill="1" applyBorder="1" applyAlignment="1" applyProtection="1">
      <alignment horizontal="center" vertical="center" wrapText="1"/>
      <protection hidden="1"/>
    </xf>
    <xf numFmtId="0" fontId="21" fillId="15" borderId="18" xfId="2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/>
    </xf>
    <xf numFmtId="0" fontId="21" fillId="12" borderId="8" xfId="20" applyFont="1" applyFill="1" applyBorder="1" applyAlignment="1" applyProtection="1">
      <alignment horizontal="center" vertical="center" wrapText="1"/>
      <protection hidden="1"/>
    </xf>
    <xf numFmtId="0" fontId="17" fillId="14" borderId="1" xfId="20" applyFont="1" applyFill="1" applyBorder="1" applyAlignment="1" applyProtection="1">
      <alignment horizontal="center" vertical="center" wrapText="1"/>
      <protection hidden="1"/>
    </xf>
    <xf numFmtId="0" fontId="17" fillId="14" borderId="5" xfId="20" applyFont="1" applyFill="1" applyBorder="1" applyAlignment="1" applyProtection="1">
      <alignment horizontal="center" vertical="center" wrapText="1"/>
      <protection hidden="1"/>
    </xf>
    <xf numFmtId="0" fontId="17" fillId="14" borderId="4" xfId="20" applyFont="1" applyFill="1" applyBorder="1" applyAlignment="1" applyProtection="1">
      <alignment horizontal="left" vertical="center" wrapText="1"/>
      <protection hidden="1"/>
    </xf>
    <xf numFmtId="0" fontId="17" fillId="14" borderId="23" xfId="20" applyFont="1" applyFill="1" applyBorder="1" applyAlignment="1" applyProtection="1">
      <alignment horizontal="left" vertical="center" wrapText="1"/>
      <protection hidden="1"/>
    </xf>
    <xf numFmtId="0" fontId="22" fillId="11" borderId="8" xfId="20" applyFont="1" applyFill="1" applyBorder="1" applyAlignment="1" applyProtection="1">
      <alignment horizontal="center" vertical="center" wrapText="1"/>
      <protection hidden="1"/>
    </xf>
    <xf numFmtId="0" fontId="6" fillId="12" borderId="21" xfId="0" applyFont="1" applyFill="1" applyBorder="1" applyAlignment="1">
      <alignment horizontal="center"/>
    </xf>
    <xf numFmtId="0" fontId="21" fillId="13" borderId="8" xfId="20" applyFont="1" applyFill="1" applyBorder="1" applyAlignment="1" applyProtection="1">
      <alignment horizontal="center" vertical="center" wrapText="1"/>
      <protection hidden="1"/>
    </xf>
    <xf numFmtId="0" fontId="6" fillId="18" borderId="2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1" fillId="18" borderId="8" xfId="2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20" fillId="8" borderId="5" xfId="0" applyFont="1" applyFill="1" applyBorder="1" applyAlignment="1">
      <alignment horizontal="center" vertical="center" wrapText="1"/>
    </xf>
    <xf numFmtId="0" fontId="20" fillId="8" borderId="39" xfId="0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center" vertical="center" wrapText="1"/>
    </xf>
    <xf numFmtId="0" fontId="21" fillId="18" borderId="10" xfId="20" applyFont="1" applyFill="1" applyBorder="1" applyAlignment="1" applyProtection="1">
      <alignment horizontal="center" vertical="center" wrapText="1"/>
      <protection hidden="1"/>
    </xf>
    <xf numFmtId="0" fontId="6" fillId="16" borderId="29" xfId="0" applyFont="1" applyFill="1" applyBorder="1" applyAlignment="1">
      <alignment horizontal="center"/>
    </xf>
  </cellXfs>
  <cellStyles count="22">
    <cellStyle name="Millares [0] 2" xfId="11" xr:uid="{00000000-0005-0000-0000-000000000000}"/>
    <cellStyle name="Moneda" xfId="1" builtinId="4"/>
    <cellStyle name="Moneda [0]" xfId="4" builtinId="7"/>
    <cellStyle name="Moneda [0] 2" xfId="8" xr:uid="{00000000-0005-0000-0000-000003000000}"/>
    <cellStyle name="Moneda [0] 2 2" xfId="10" xr:uid="{00000000-0005-0000-0000-000004000000}"/>
    <cellStyle name="Moneda [0] 2 3" xfId="13" xr:uid="{00000000-0005-0000-0000-000005000000}"/>
    <cellStyle name="Moneda [0] 2 4" xfId="15" xr:uid="{00000000-0005-0000-0000-000006000000}"/>
    <cellStyle name="Moneda [0] 3" xfId="18" xr:uid="{00000000-0005-0000-0000-000007000000}"/>
    <cellStyle name="Moneda [0] 4" xfId="6" xr:uid="{00000000-0005-0000-0000-000008000000}"/>
    <cellStyle name="Moneda 2" xfId="16" xr:uid="{00000000-0005-0000-0000-000009000000}"/>
    <cellStyle name="Moneda 3" xfId="19" xr:uid="{00000000-0005-0000-0000-00000A000000}"/>
    <cellStyle name="Moneda 4" xfId="2" xr:uid="{00000000-0005-0000-0000-00000B000000}"/>
    <cellStyle name="Normal" xfId="0" builtinId="0"/>
    <cellStyle name="Normal 2" xfId="3" xr:uid="{00000000-0005-0000-0000-00000D000000}"/>
    <cellStyle name="Normal 2 2" xfId="9" xr:uid="{00000000-0005-0000-0000-00000E000000}"/>
    <cellStyle name="Normal 2 3" xfId="12" xr:uid="{00000000-0005-0000-0000-00000F000000}"/>
    <cellStyle name="Normal 2 4" xfId="14" xr:uid="{00000000-0005-0000-0000-000010000000}"/>
    <cellStyle name="Normal 2 5" xfId="7" xr:uid="{00000000-0005-0000-0000-000011000000}"/>
    <cellStyle name="Normal 2 6" xfId="20" xr:uid="{25B55E28-E40B-4EA7-9805-C27323BA5768}"/>
    <cellStyle name="Normal 3" xfId="17" xr:uid="{00000000-0005-0000-0000-000012000000}"/>
    <cellStyle name="Normal 4" xfId="5" xr:uid="{00000000-0005-0000-0000-000013000000}"/>
    <cellStyle name="Porcentaje" xfId="2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4:J22"/>
  <sheetViews>
    <sheetView showGridLines="0" workbookViewId="0">
      <selection activeCell="G9" sqref="G9"/>
    </sheetView>
  </sheetViews>
  <sheetFormatPr baseColWidth="10" defaultColWidth="11.42578125" defaultRowHeight="15" x14ac:dyDescent="0.25"/>
  <cols>
    <col min="1" max="1" width="5.140625" customWidth="1"/>
    <col min="2" max="2" width="12.42578125" customWidth="1"/>
    <col min="3" max="3" width="38" customWidth="1"/>
    <col min="4" max="4" width="27.42578125" customWidth="1"/>
    <col min="5" max="5" width="15.42578125" customWidth="1"/>
    <col min="6" max="6" width="12.42578125" customWidth="1"/>
    <col min="7" max="7" width="16" customWidth="1"/>
    <col min="8" max="8" width="13" customWidth="1"/>
    <col min="9" max="9" width="19" customWidth="1"/>
    <col min="10" max="10" width="14.7109375" customWidth="1"/>
  </cols>
  <sheetData>
    <row r="4" spans="2:10" ht="15.75" thickBot="1" x14ac:dyDescent="0.3"/>
    <row r="5" spans="2:10" ht="45.75" thickBot="1" x14ac:dyDescent="0.3">
      <c r="B5" s="4" t="s">
        <v>0</v>
      </c>
      <c r="C5" s="32" t="s">
        <v>1</v>
      </c>
      <c r="E5" s="34" t="s">
        <v>2</v>
      </c>
      <c r="I5" s="121" t="s">
        <v>3</v>
      </c>
      <c r="J5" s="121"/>
    </row>
    <row r="6" spans="2:10" ht="29.85" customHeight="1" thickBot="1" x14ac:dyDescent="0.4">
      <c r="B6" s="23" t="s">
        <v>4</v>
      </c>
      <c r="C6" s="15">
        <v>13</v>
      </c>
      <c r="E6" s="33">
        <v>7975000</v>
      </c>
      <c r="I6" s="121"/>
      <c r="J6" s="121"/>
    </row>
    <row r="7" spans="2:10" x14ac:dyDescent="0.25">
      <c r="B7" s="4"/>
    </row>
    <row r="8" spans="2:10" s="25" customFormat="1" ht="48" customHeight="1" x14ac:dyDescent="0.25">
      <c r="B8"/>
      <c r="C8" s="24" t="s">
        <v>5</v>
      </c>
      <c r="D8" s="24" t="s">
        <v>6</v>
      </c>
      <c r="E8" s="24" t="s">
        <v>7</v>
      </c>
      <c r="F8" s="24" t="s">
        <v>8</v>
      </c>
      <c r="I8" s="120"/>
      <c r="J8" s="120"/>
    </row>
    <row r="9" spans="2:10" x14ac:dyDescent="0.25">
      <c r="C9" s="11" t="s">
        <v>9</v>
      </c>
      <c r="D9" s="17">
        <v>13</v>
      </c>
      <c r="E9" s="12">
        <v>30</v>
      </c>
      <c r="F9" s="14">
        <f>+E9*D9</f>
        <v>390</v>
      </c>
      <c r="G9" s="6">
        <f>+D9*E6</f>
        <v>103675000</v>
      </c>
      <c r="I9" s="120"/>
      <c r="J9" s="120"/>
    </row>
    <row r="10" spans="2:10" x14ac:dyDescent="0.25">
      <c r="C10" s="11"/>
      <c r="D10" s="17"/>
      <c r="E10" s="16"/>
      <c r="F10" s="14"/>
      <c r="G10" s="6">
        <f>+(1/30)*F10*$E$6</f>
        <v>0</v>
      </c>
      <c r="I10" s="120"/>
      <c r="J10" s="120"/>
    </row>
    <row r="11" spans="2:10" x14ac:dyDescent="0.25">
      <c r="C11" s="11"/>
      <c r="D11" s="17"/>
      <c r="E11" s="16"/>
      <c r="F11" s="14"/>
      <c r="G11" s="6">
        <f t="shared" ref="G11" si="0">+(1/30)*F11*$E$6</f>
        <v>0</v>
      </c>
      <c r="I11" s="120"/>
      <c r="J11" s="120"/>
    </row>
    <row r="12" spans="2:10" x14ac:dyDescent="0.25">
      <c r="C12" s="11"/>
      <c r="D12" s="17"/>
      <c r="E12" s="16"/>
      <c r="F12" s="14"/>
      <c r="G12" s="6">
        <f>+(1/30)*F12*$E$6</f>
        <v>0</v>
      </c>
    </row>
    <row r="13" spans="2:10" x14ac:dyDescent="0.25">
      <c r="C13" s="11"/>
      <c r="D13" s="12"/>
      <c r="E13" s="13"/>
      <c r="F13" s="14"/>
      <c r="G13" s="6"/>
    </row>
    <row r="14" spans="2:10" x14ac:dyDescent="0.25">
      <c r="C14" s="11"/>
      <c r="D14" s="12"/>
      <c r="E14" s="13"/>
      <c r="F14" s="14"/>
    </row>
    <row r="15" spans="2:10" x14ac:dyDescent="0.25">
      <c r="C15" s="11"/>
      <c r="D15" s="12"/>
      <c r="E15" s="13"/>
      <c r="F15" s="14"/>
    </row>
    <row r="16" spans="2:10" ht="15.75" thickBot="1" x14ac:dyDescent="0.3">
      <c r="C16" s="18"/>
      <c r="D16" s="18"/>
      <c r="E16" s="19"/>
      <c r="F16" s="20"/>
      <c r="H16" s="6"/>
    </row>
    <row r="17" spans="3:10" ht="15.75" thickBot="1" x14ac:dyDescent="0.3">
      <c r="C17" s="115" t="s">
        <v>10</v>
      </c>
      <c r="D17" s="116"/>
      <c r="E17" s="116"/>
      <c r="F17" s="21">
        <f>SUM(F9:F16)</f>
        <v>390</v>
      </c>
    </row>
    <row r="18" spans="3:10" ht="15.75" thickBot="1" x14ac:dyDescent="0.3"/>
    <row r="19" spans="3:10" ht="15.75" thickBot="1" x14ac:dyDescent="0.3">
      <c r="C19" s="115" t="s">
        <v>11</v>
      </c>
      <c r="D19" s="116"/>
      <c r="E19" s="116"/>
      <c r="F19" s="21">
        <f>30*C6</f>
        <v>390</v>
      </c>
    </row>
    <row r="20" spans="3:10" ht="15.75" thickBot="1" x14ac:dyDescent="0.3"/>
    <row r="21" spans="3:10" ht="24.75" thickBot="1" x14ac:dyDescent="0.3">
      <c r="H21" s="26" t="s">
        <v>12</v>
      </c>
      <c r="I21" s="27" t="s">
        <v>13</v>
      </c>
      <c r="J21" s="28" t="s">
        <v>14</v>
      </c>
    </row>
    <row r="22" spans="3:10" ht="20.85" customHeight="1" thickBot="1" x14ac:dyDescent="0.3">
      <c r="C22" s="117" t="s">
        <v>15</v>
      </c>
      <c r="D22" s="118"/>
      <c r="E22" s="119"/>
      <c r="F22" s="22">
        <f>+(1/30)*F17</f>
        <v>13</v>
      </c>
      <c r="H22" s="29" t="str">
        <f>+FIXED(F22)</f>
        <v>13,00</v>
      </c>
      <c r="I22" s="30">
        <f>+E6</f>
        <v>7975000</v>
      </c>
      <c r="J22" s="31">
        <f>+I22*H22</f>
        <v>103675000</v>
      </c>
    </row>
  </sheetData>
  <mergeCells count="5">
    <mergeCell ref="C17:E17"/>
    <mergeCell ref="C19:E19"/>
    <mergeCell ref="C22:E22"/>
    <mergeCell ref="I8:J11"/>
    <mergeCell ref="I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904A-55DD-48AB-B70C-842B56220809}">
  <dimension ref="B4:J22"/>
  <sheetViews>
    <sheetView showGridLines="0" workbookViewId="0">
      <selection activeCell="C10" sqref="C10:F12"/>
    </sheetView>
  </sheetViews>
  <sheetFormatPr baseColWidth="10" defaultColWidth="11.42578125" defaultRowHeight="15" x14ac:dyDescent="0.25"/>
  <cols>
    <col min="1" max="1" width="5.140625" customWidth="1"/>
    <col min="2" max="2" width="12.42578125" customWidth="1"/>
    <col min="3" max="3" width="38" customWidth="1"/>
    <col min="4" max="4" width="27.42578125" customWidth="1"/>
    <col min="5" max="5" width="15.42578125" customWidth="1"/>
    <col min="6" max="6" width="12.42578125" customWidth="1"/>
    <col min="7" max="7" width="16" customWidth="1"/>
    <col min="8" max="8" width="13" customWidth="1"/>
    <col min="9" max="9" width="19" customWidth="1"/>
    <col min="10" max="10" width="14.7109375" customWidth="1"/>
  </cols>
  <sheetData>
    <row r="4" spans="2:10" ht="15.75" thickBot="1" x14ac:dyDescent="0.3"/>
    <row r="5" spans="2:10" ht="45.75" thickBot="1" x14ac:dyDescent="0.3">
      <c r="B5" s="4" t="s">
        <v>0</v>
      </c>
      <c r="C5" s="32" t="s">
        <v>1</v>
      </c>
      <c r="E5" s="34" t="s">
        <v>2</v>
      </c>
      <c r="I5" s="121" t="s">
        <v>3</v>
      </c>
      <c r="J5" s="121"/>
    </row>
    <row r="6" spans="2:10" ht="29.85" customHeight="1" thickBot="1" x14ac:dyDescent="0.4">
      <c r="B6" s="23" t="s">
        <v>16</v>
      </c>
      <c r="C6" s="15">
        <v>1</v>
      </c>
      <c r="E6" s="33">
        <v>8250000</v>
      </c>
      <c r="I6" s="121"/>
      <c r="J6" s="121"/>
    </row>
    <row r="7" spans="2:10" x14ac:dyDescent="0.25">
      <c r="B7" s="4"/>
    </row>
    <row r="8" spans="2:10" s="25" customFormat="1" ht="48" customHeight="1" x14ac:dyDescent="0.25">
      <c r="B8"/>
      <c r="C8" s="24" t="s">
        <v>5</v>
      </c>
      <c r="D8" s="24" t="s">
        <v>6</v>
      </c>
      <c r="E8" s="24" t="s">
        <v>7</v>
      </c>
      <c r="F8" s="24" t="s">
        <v>8</v>
      </c>
      <c r="I8" s="120"/>
      <c r="J8" s="120"/>
    </row>
    <row r="9" spans="2:10" x14ac:dyDescent="0.25">
      <c r="C9" s="11" t="s">
        <v>9</v>
      </c>
      <c r="D9" s="17">
        <v>1</v>
      </c>
      <c r="E9" s="12">
        <v>30</v>
      </c>
      <c r="F9" s="14">
        <f>+E9*D9</f>
        <v>30</v>
      </c>
      <c r="G9" s="6">
        <f>+D9*E6</f>
        <v>8250000</v>
      </c>
      <c r="I9" s="120"/>
      <c r="J9" s="120"/>
    </row>
    <row r="10" spans="2:10" x14ac:dyDescent="0.25">
      <c r="C10" s="11"/>
      <c r="D10" s="17"/>
      <c r="E10" s="16"/>
      <c r="F10" s="14"/>
      <c r="G10" s="6">
        <f>+(1/30)*F10*$E$6</f>
        <v>0</v>
      </c>
      <c r="I10" s="120"/>
      <c r="J10" s="120"/>
    </row>
    <row r="11" spans="2:10" x14ac:dyDescent="0.25">
      <c r="C11" s="11"/>
      <c r="D11" s="17"/>
      <c r="E11" s="16"/>
      <c r="F11" s="14"/>
      <c r="G11" s="6">
        <f t="shared" ref="G11" si="0">+(1/30)*F11*$E$6</f>
        <v>0</v>
      </c>
      <c r="I11" s="120"/>
      <c r="J11" s="120"/>
    </row>
    <row r="12" spans="2:10" x14ac:dyDescent="0.25">
      <c r="C12" s="11"/>
      <c r="D12" s="17"/>
      <c r="E12" s="16"/>
      <c r="F12" s="14"/>
      <c r="G12" s="6">
        <f>+(1/30)*F12*$E$6</f>
        <v>0</v>
      </c>
    </row>
    <row r="13" spans="2:10" x14ac:dyDescent="0.25">
      <c r="C13" s="11"/>
      <c r="D13" s="12"/>
      <c r="E13" s="13"/>
      <c r="F13" s="14"/>
      <c r="G13" s="6"/>
    </row>
    <row r="14" spans="2:10" x14ac:dyDescent="0.25">
      <c r="C14" s="11"/>
      <c r="D14" s="12"/>
      <c r="E14" s="13"/>
      <c r="F14" s="14"/>
    </row>
    <row r="15" spans="2:10" x14ac:dyDescent="0.25">
      <c r="C15" s="11"/>
      <c r="D15" s="12"/>
      <c r="E15" s="13"/>
      <c r="F15" s="14"/>
    </row>
    <row r="16" spans="2:10" ht="15.75" thickBot="1" x14ac:dyDescent="0.3">
      <c r="C16" s="18"/>
      <c r="D16" s="18"/>
      <c r="E16" s="19"/>
      <c r="F16" s="20"/>
      <c r="H16" s="6"/>
    </row>
    <row r="17" spans="3:10" ht="15.75" thickBot="1" x14ac:dyDescent="0.3">
      <c r="C17" s="115" t="s">
        <v>10</v>
      </c>
      <c r="D17" s="116"/>
      <c r="E17" s="116"/>
      <c r="F17" s="21">
        <f>SUM(F9:F16)</f>
        <v>30</v>
      </c>
    </row>
    <row r="18" spans="3:10" ht="15.75" thickBot="1" x14ac:dyDescent="0.3"/>
    <row r="19" spans="3:10" ht="15.75" thickBot="1" x14ac:dyDescent="0.3">
      <c r="C19" s="115" t="s">
        <v>11</v>
      </c>
      <c r="D19" s="116"/>
      <c r="E19" s="116"/>
      <c r="F19" s="21">
        <f>30*C6</f>
        <v>30</v>
      </c>
    </row>
    <row r="20" spans="3:10" ht="15.75" thickBot="1" x14ac:dyDescent="0.3"/>
    <row r="21" spans="3:10" ht="24.75" thickBot="1" x14ac:dyDescent="0.3">
      <c r="H21" s="26" t="s">
        <v>12</v>
      </c>
      <c r="I21" s="27" t="s">
        <v>13</v>
      </c>
      <c r="J21" s="28" t="s">
        <v>14</v>
      </c>
    </row>
    <row r="22" spans="3:10" ht="20.85" customHeight="1" thickBot="1" x14ac:dyDescent="0.3">
      <c r="C22" s="117" t="s">
        <v>15</v>
      </c>
      <c r="D22" s="118"/>
      <c r="E22" s="119"/>
      <c r="F22" s="22">
        <f>+(1/30)*F17</f>
        <v>1</v>
      </c>
      <c r="H22" s="29" t="str">
        <f>+FIXED(F22)</f>
        <v>1,00</v>
      </c>
      <c r="I22" s="30">
        <f>+E6</f>
        <v>8250000</v>
      </c>
      <c r="J22" s="31">
        <f>+I22*H22</f>
        <v>8250000</v>
      </c>
    </row>
  </sheetData>
  <mergeCells count="5">
    <mergeCell ref="I5:J6"/>
    <mergeCell ref="I8:J11"/>
    <mergeCell ref="C17:E17"/>
    <mergeCell ref="C19:E19"/>
    <mergeCell ref="C22:E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37D5A-7D21-4D55-BE57-5A99F7D40C79}">
  <dimension ref="B4:J22"/>
  <sheetViews>
    <sheetView showGridLines="0" topLeftCell="A4" zoomScale="85" zoomScaleNormal="85" workbookViewId="0">
      <selection activeCell="B12" sqref="B12"/>
    </sheetView>
  </sheetViews>
  <sheetFormatPr baseColWidth="10" defaultColWidth="11.42578125" defaultRowHeight="15" x14ac:dyDescent="0.25"/>
  <cols>
    <col min="1" max="1" width="5.140625" customWidth="1"/>
    <col min="2" max="2" width="12.42578125" customWidth="1"/>
    <col min="3" max="3" width="38" customWidth="1"/>
    <col min="4" max="4" width="27.42578125" customWidth="1"/>
    <col min="5" max="5" width="15.42578125" customWidth="1"/>
    <col min="6" max="6" width="12.42578125" customWidth="1"/>
    <col min="7" max="7" width="16" customWidth="1"/>
    <col min="8" max="8" width="13" customWidth="1"/>
    <col min="9" max="9" width="19" customWidth="1"/>
    <col min="10" max="10" width="14.7109375" customWidth="1"/>
  </cols>
  <sheetData>
    <row r="4" spans="2:10" ht="15.75" thickBot="1" x14ac:dyDescent="0.3"/>
    <row r="5" spans="2:10" ht="45.75" thickBot="1" x14ac:dyDescent="0.3">
      <c r="B5" s="4" t="s">
        <v>0</v>
      </c>
      <c r="C5" s="32" t="s">
        <v>1</v>
      </c>
      <c r="E5" s="34" t="s">
        <v>2</v>
      </c>
      <c r="I5" s="121" t="s">
        <v>3</v>
      </c>
      <c r="J5" s="121"/>
    </row>
    <row r="6" spans="2:10" ht="29.85" customHeight="1" thickBot="1" x14ac:dyDescent="0.4">
      <c r="B6" s="23" t="s">
        <v>17</v>
      </c>
      <c r="C6" s="15">
        <v>1</v>
      </c>
      <c r="E6" s="33">
        <v>7000000</v>
      </c>
      <c r="I6" s="121"/>
      <c r="J6" s="121"/>
    </row>
    <row r="7" spans="2:10" x14ac:dyDescent="0.25">
      <c r="B7" s="4"/>
    </row>
    <row r="8" spans="2:10" s="25" customFormat="1" ht="48" customHeight="1" x14ac:dyDescent="0.25">
      <c r="B8"/>
      <c r="C8" s="24" t="s">
        <v>5</v>
      </c>
      <c r="D8" s="24" t="s">
        <v>6</v>
      </c>
      <c r="E8" s="24" t="s">
        <v>7</v>
      </c>
      <c r="F8" s="24" t="s">
        <v>8</v>
      </c>
      <c r="I8" s="120"/>
      <c r="J8" s="120"/>
    </row>
    <row r="9" spans="2:10" x14ac:dyDescent="0.25">
      <c r="C9" s="11" t="s">
        <v>9</v>
      </c>
      <c r="D9" s="17">
        <v>1</v>
      </c>
      <c r="E9" s="12">
        <v>30</v>
      </c>
      <c r="F9" s="14">
        <f>+E9*D9</f>
        <v>30</v>
      </c>
      <c r="G9" s="6">
        <f>+D9*E6</f>
        <v>7000000</v>
      </c>
      <c r="I9" s="120"/>
      <c r="J9" s="120"/>
    </row>
    <row r="10" spans="2:10" x14ac:dyDescent="0.25">
      <c r="C10" s="11"/>
      <c r="D10" s="17"/>
      <c r="E10" s="16"/>
      <c r="F10" s="14"/>
      <c r="G10" s="6">
        <f>+(1/30)*F10*$E$6</f>
        <v>0</v>
      </c>
      <c r="I10" s="120"/>
      <c r="J10" s="120"/>
    </row>
    <row r="11" spans="2:10" x14ac:dyDescent="0.25">
      <c r="C11" s="11"/>
      <c r="D11" s="17"/>
      <c r="E11" s="16"/>
      <c r="F11" s="14"/>
      <c r="G11" s="6">
        <f t="shared" ref="G11" si="0">+(1/30)*F11*$E$6</f>
        <v>0</v>
      </c>
      <c r="I11" s="120"/>
      <c r="J11" s="120"/>
    </row>
    <row r="12" spans="2:10" x14ac:dyDescent="0.25">
      <c r="C12" s="11"/>
      <c r="D12" s="17"/>
      <c r="E12" s="16"/>
      <c r="F12" s="14"/>
      <c r="G12" s="6">
        <f>+(1/30)*F12*$E$6</f>
        <v>0</v>
      </c>
    </row>
    <row r="13" spans="2:10" x14ac:dyDescent="0.25">
      <c r="C13" s="11"/>
      <c r="D13" s="12"/>
      <c r="E13" s="13"/>
      <c r="F13" s="14"/>
      <c r="G13" s="6"/>
    </row>
    <row r="14" spans="2:10" x14ac:dyDescent="0.25">
      <c r="C14" s="11"/>
      <c r="D14" s="12"/>
      <c r="E14" s="13"/>
      <c r="F14" s="14"/>
    </row>
    <row r="15" spans="2:10" x14ac:dyDescent="0.25">
      <c r="C15" s="11"/>
      <c r="D15" s="12"/>
      <c r="E15" s="13"/>
      <c r="F15" s="14"/>
    </row>
    <row r="16" spans="2:10" ht="15.75" thickBot="1" x14ac:dyDescent="0.3">
      <c r="C16" s="18"/>
      <c r="D16" s="18"/>
      <c r="E16" s="19"/>
      <c r="F16" s="20"/>
      <c r="H16" s="6"/>
    </row>
    <row r="17" spans="3:10" ht="15.75" thickBot="1" x14ac:dyDescent="0.3">
      <c r="C17" s="115" t="s">
        <v>10</v>
      </c>
      <c r="D17" s="116"/>
      <c r="E17" s="116"/>
      <c r="F17" s="21">
        <f>SUM(F9:F16)</f>
        <v>30</v>
      </c>
    </row>
    <row r="18" spans="3:10" ht="15.75" thickBot="1" x14ac:dyDescent="0.3"/>
    <row r="19" spans="3:10" ht="15.75" thickBot="1" x14ac:dyDescent="0.3">
      <c r="C19" s="115" t="s">
        <v>11</v>
      </c>
      <c r="D19" s="116"/>
      <c r="E19" s="116"/>
      <c r="F19" s="21">
        <f>30*C6</f>
        <v>30</v>
      </c>
    </row>
    <row r="20" spans="3:10" ht="15.75" thickBot="1" x14ac:dyDescent="0.3"/>
    <row r="21" spans="3:10" ht="24.75" thickBot="1" x14ac:dyDescent="0.3">
      <c r="H21" s="26" t="s">
        <v>12</v>
      </c>
      <c r="I21" s="27" t="s">
        <v>13</v>
      </c>
      <c r="J21" s="28" t="s">
        <v>14</v>
      </c>
    </row>
    <row r="22" spans="3:10" ht="20.85" customHeight="1" thickBot="1" x14ac:dyDescent="0.3">
      <c r="C22" s="117" t="s">
        <v>15</v>
      </c>
      <c r="D22" s="118"/>
      <c r="E22" s="119"/>
      <c r="F22" s="22">
        <f>+(1/30)*F17</f>
        <v>1</v>
      </c>
      <c r="H22" s="29" t="str">
        <f>+FIXED(F22)</f>
        <v>1,00</v>
      </c>
      <c r="I22" s="30">
        <f>+E6</f>
        <v>7000000</v>
      </c>
      <c r="J22" s="31">
        <f>+I22*H22</f>
        <v>7000000</v>
      </c>
    </row>
  </sheetData>
  <mergeCells count="5">
    <mergeCell ref="I5:J6"/>
    <mergeCell ref="I8:J11"/>
    <mergeCell ref="C17:E17"/>
    <mergeCell ref="C19:E19"/>
    <mergeCell ref="C22:E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89813-B26B-4CBC-AB5E-B9B2C534157B}">
  <dimension ref="A1:CS33"/>
  <sheetViews>
    <sheetView showGridLines="0" tabSelected="1" topLeftCell="B1" zoomScale="120" zoomScaleNormal="120" workbookViewId="0">
      <pane xSplit="2" ySplit="3" topLeftCell="BE6" activePane="bottomRight" state="frozen"/>
      <selection activeCell="B1" sqref="B1"/>
      <selection pane="topRight" activeCell="D1" sqref="D1"/>
      <selection pane="bottomLeft" activeCell="B4" sqref="B4"/>
      <selection pane="bottomRight" activeCell="I14" sqref="I14"/>
    </sheetView>
  </sheetViews>
  <sheetFormatPr baseColWidth="10" defaultColWidth="0" defaultRowHeight="15" x14ac:dyDescent="0.25"/>
  <cols>
    <col min="1" max="1" width="14" customWidth="1"/>
    <col min="2" max="2" width="15.85546875" customWidth="1"/>
    <col min="3" max="3" width="43.42578125" style="40" customWidth="1"/>
    <col min="4" max="4" width="12.85546875" customWidth="1"/>
    <col min="5" max="5" width="11.42578125" customWidth="1"/>
    <col min="6" max="6" width="12.42578125" bestFit="1" customWidth="1"/>
    <col min="7" max="7" width="19.140625" bestFit="1" customWidth="1"/>
    <col min="8" max="9" width="18.140625" customWidth="1"/>
    <col min="10" max="10" width="8.140625" customWidth="1"/>
    <col min="11" max="11" width="0" hidden="1" customWidth="1"/>
    <col min="12" max="12" width="14.140625" hidden="1" customWidth="1"/>
    <col min="13" max="13" width="15.42578125" hidden="1" customWidth="1"/>
    <col min="14" max="14" width="1" hidden="1" customWidth="1"/>
    <col min="15" max="15" width="10.85546875" hidden="1" customWidth="1"/>
    <col min="16" max="16" width="12.42578125" hidden="1" customWidth="1"/>
    <col min="17" max="17" width="19.42578125" hidden="1" customWidth="1"/>
    <col min="18" max="18" width="1" hidden="1" customWidth="1"/>
    <col min="19" max="19" width="20.42578125" hidden="1" customWidth="1"/>
    <col min="20" max="20" width="0.85546875" hidden="1" customWidth="1"/>
    <col min="21" max="21" width="10.85546875" hidden="1" customWidth="1"/>
    <col min="22" max="22" width="12.42578125" hidden="1" customWidth="1"/>
    <col min="23" max="23" width="20.140625" hidden="1" customWidth="1"/>
    <col min="24" max="24" width="0.85546875" hidden="1" customWidth="1"/>
    <col min="25" max="25" width="19.85546875" hidden="1" customWidth="1"/>
    <col min="26" max="26" width="0.85546875" hidden="1" customWidth="1"/>
    <col min="27" max="27" width="11.42578125" hidden="1" customWidth="1"/>
    <col min="28" max="28" width="14.7109375" hidden="1" customWidth="1"/>
    <col min="29" max="29" width="12.85546875" hidden="1" customWidth="1"/>
    <col min="30" max="30" width="0.85546875" hidden="1" customWidth="1"/>
    <col min="31" max="31" width="20.42578125" hidden="1" customWidth="1"/>
    <col min="32" max="32" width="2.42578125" hidden="1" customWidth="1"/>
    <col min="33" max="33" width="18.140625" hidden="1" customWidth="1"/>
    <col min="34" max="34" width="12.85546875" hidden="1" customWidth="1"/>
    <col min="35" max="35" width="12.140625" hidden="1" customWidth="1"/>
    <col min="36" max="36" width="2.85546875" hidden="1" customWidth="1"/>
    <col min="37" max="37" width="22.7109375" hidden="1" customWidth="1"/>
    <col min="38" max="38" width="15.42578125" hidden="1" customWidth="1"/>
    <col min="39" max="39" width="16.42578125" hidden="1" customWidth="1"/>
    <col min="40" max="40" width="17.85546875" hidden="1" customWidth="1"/>
    <col min="41" max="41" width="2.85546875" hidden="1" customWidth="1"/>
    <col min="42" max="42" width="16.85546875" hidden="1" customWidth="1"/>
    <col min="43" max="43" width="2.42578125" hidden="1" customWidth="1"/>
    <col min="44" max="44" width="15.42578125" hidden="1" customWidth="1"/>
    <col min="45" max="45" width="16.42578125" hidden="1" customWidth="1"/>
    <col min="46" max="46" width="16.85546875" hidden="1" customWidth="1"/>
    <col min="47" max="47" width="2.85546875" hidden="1" customWidth="1"/>
    <col min="48" max="48" width="16.85546875" hidden="1" customWidth="1"/>
    <col min="49" max="49" width="2.42578125" hidden="1" customWidth="1"/>
    <col min="50" max="50" width="14.140625" hidden="1" customWidth="1"/>
    <col min="51" max="51" width="15.7109375" hidden="1" customWidth="1"/>
    <col min="52" max="52" width="15.42578125" hidden="1" customWidth="1"/>
    <col min="53" max="53" width="8.28515625" customWidth="1"/>
    <col min="54" max="54" width="0.85546875" customWidth="1"/>
    <col min="55" max="56" width="1" customWidth="1"/>
    <col min="57" max="57" width="11.42578125" customWidth="1"/>
    <col min="58" max="60" width="15" customWidth="1"/>
    <col min="61" max="61" width="18.7109375" bestFit="1" customWidth="1"/>
    <col min="62" max="62" width="1.42578125" customWidth="1"/>
    <col min="63" max="63" width="11.42578125" hidden="1" customWidth="1"/>
    <col min="64" max="64" width="16.42578125" hidden="1" customWidth="1"/>
    <col min="65" max="65" width="17.85546875" hidden="1" customWidth="1"/>
    <col min="66" max="66" width="1.42578125" hidden="1" customWidth="1"/>
    <col min="67" max="67" width="11.42578125" hidden="1" customWidth="1"/>
    <col min="68" max="68" width="18.42578125" hidden="1" customWidth="1"/>
    <col min="69" max="69" width="17.85546875" hidden="1" customWidth="1"/>
    <col min="70" max="76" width="1.42578125" hidden="1" customWidth="1"/>
    <col min="77" max="77" width="18.140625" hidden="1" customWidth="1"/>
    <col min="78" max="78" width="17.42578125" hidden="1" customWidth="1"/>
    <col min="79" max="82" width="1" hidden="1" customWidth="1"/>
    <col min="83" max="83" width="11.42578125" hidden="1" customWidth="1"/>
    <col min="84" max="84" width="13.42578125" hidden="1" customWidth="1"/>
    <col min="85" max="85" width="16.28515625" hidden="1" customWidth="1"/>
    <col min="86" max="86" width="20.140625" hidden="1" customWidth="1"/>
    <col min="87" max="87" width="14.140625" hidden="1" customWidth="1"/>
    <col min="88" max="88" width="12" hidden="1" customWidth="1"/>
    <col min="89" max="96" width="11.42578125" hidden="1" customWidth="1"/>
    <col min="97" max="97" width="13.42578125" hidden="1" customWidth="1"/>
  </cols>
  <sheetData>
    <row r="1" spans="1:97" x14ac:dyDescent="0.25">
      <c r="BE1" s="141"/>
      <c r="BF1" s="141"/>
      <c r="BG1" s="141"/>
      <c r="BH1" s="141"/>
      <c r="BI1" s="141"/>
      <c r="BK1" s="141"/>
      <c r="BL1" s="141"/>
      <c r="BM1" s="141"/>
      <c r="CE1" s="124" t="s">
        <v>42</v>
      </c>
      <c r="CF1" s="124"/>
      <c r="CG1" s="124"/>
    </row>
    <row r="2" spans="1:97" x14ac:dyDescent="0.25">
      <c r="D2" s="76" t="s">
        <v>43</v>
      </c>
      <c r="E2" s="76"/>
      <c r="F2" s="76"/>
      <c r="G2" s="76"/>
      <c r="H2" s="71"/>
      <c r="I2" s="71"/>
      <c r="J2" s="41"/>
      <c r="K2" s="73" t="s">
        <v>44</v>
      </c>
      <c r="L2" s="73"/>
      <c r="M2" s="73"/>
      <c r="N2" s="42"/>
      <c r="O2" s="131" t="s">
        <v>45</v>
      </c>
      <c r="P2" s="131"/>
      <c r="Q2" s="131"/>
      <c r="R2" s="43"/>
      <c r="S2" s="44" t="s">
        <v>46</v>
      </c>
      <c r="U2" s="131" t="s">
        <v>47</v>
      </c>
      <c r="V2" s="131"/>
      <c r="W2" s="131"/>
      <c r="X2" s="43"/>
      <c r="Y2" s="44" t="s">
        <v>46</v>
      </c>
      <c r="AA2" s="131" t="s">
        <v>48</v>
      </c>
      <c r="AB2" s="131"/>
      <c r="AC2" s="131"/>
      <c r="AD2" s="43"/>
      <c r="AE2" s="44" t="s">
        <v>46</v>
      </c>
      <c r="AF2" s="45"/>
      <c r="AG2" s="131" t="s">
        <v>49</v>
      </c>
      <c r="AH2" s="131"/>
      <c r="AI2" s="131"/>
      <c r="AJ2" s="43"/>
      <c r="AK2" s="44" t="s">
        <v>46</v>
      </c>
      <c r="AL2" s="131" t="s">
        <v>50</v>
      </c>
      <c r="AM2" s="131"/>
      <c r="AN2" s="131"/>
      <c r="AO2" s="43"/>
      <c r="AP2" s="44" t="s">
        <v>46</v>
      </c>
      <c r="AQ2" s="45"/>
      <c r="AR2" s="131" t="s">
        <v>51</v>
      </c>
      <c r="AS2" s="131"/>
      <c r="AT2" s="131"/>
      <c r="AU2" s="43"/>
      <c r="AV2" s="44" t="s">
        <v>46</v>
      </c>
      <c r="AW2" s="45"/>
      <c r="AX2" s="136"/>
      <c r="AY2" s="136"/>
      <c r="AZ2" s="44"/>
      <c r="BE2" s="131" t="s">
        <v>144</v>
      </c>
      <c r="BF2" s="131"/>
      <c r="BG2" s="131"/>
      <c r="BH2" s="131"/>
      <c r="BI2" s="131"/>
      <c r="BK2" s="131" t="s">
        <v>52</v>
      </c>
      <c r="BL2" s="131"/>
      <c r="BM2" s="131"/>
      <c r="BO2" s="131" t="s">
        <v>53</v>
      </c>
      <c r="BP2" s="131"/>
      <c r="BQ2" s="131"/>
      <c r="CE2" s="133" t="s">
        <v>54</v>
      </c>
      <c r="CF2" s="133"/>
      <c r="CG2" s="133"/>
    </row>
    <row r="3" spans="1:97" ht="18.95" customHeight="1" x14ac:dyDescent="0.25">
      <c r="A3" s="126" t="s">
        <v>55</v>
      </c>
      <c r="B3" s="126" t="s">
        <v>56</v>
      </c>
      <c r="C3" s="128" t="s">
        <v>57</v>
      </c>
      <c r="D3" s="75" t="s">
        <v>58</v>
      </c>
      <c r="E3" s="75" t="s">
        <v>59</v>
      </c>
      <c r="F3" s="75" t="s">
        <v>62</v>
      </c>
      <c r="G3" s="75" t="s">
        <v>60</v>
      </c>
      <c r="H3" s="122" t="s">
        <v>103</v>
      </c>
      <c r="I3" s="122" t="s">
        <v>104</v>
      </c>
      <c r="J3" s="46"/>
      <c r="K3" s="130" t="s">
        <v>61</v>
      </c>
      <c r="L3" s="74" t="s">
        <v>62</v>
      </c>
      <c r="M3" s="130" t="s">
        <v>63</v>
      </c>
      <c r="N3" s="47"/>
      <c r="O3" s="125" t="s">
        <v>64</v>
      </c>
      <c r="P3" s="125" t="s">
        <v>65</v>
      </c>
      <c r="Q3" s="125" t="s">
        <v>60</v>
      </c>
      <c r="R3" s="46"/>
      <c r="S3" s="132" t="s">
        <v>60</v>
      </c>
      <c r="U3" s="125" t="s">
        <v>64</v>
      </c>
      <c r="V3" s="125" t="s">
        <v>65</v>
      </c>
      <c r="W3" s="125" t="s">
        <v>60</v>
      </c>
      <c r="X3" s="46"/>
      <c r="Y3" s="132" t="s">
        <v>60</v>
      </c>
      <c r="AA3" s="125" t="s">
        <v>64</v>
      </c>
      <c r="AB3" s="125" t="s">
        <v>65</v>
      </c>
      <c r="AC3" s="125" t="s">
        <v>60</v>
      </c>
      <c r="AD3" s="46"/>
      <c r="AE3" s="132" t="s">
        <v>60</v>
      </c>
      <c r="AF3" s="45"/>
      <c r="AG3" s="125" t="s">
        <v>64</v>
      </c>
      <c r="AH3" s="125" t="s">
        <v>65</v>
      </c>
      <c r="AI3" s="125" t="s">
        <v>60</v>
      </c>
      <c r="AJ3" s="48"/>
      <c r="AK3" s="132" t="s">
        <v>60</v>
      </c>
      <c r="AL3" s="125" t="s">
        <v>64</v>
      </c>
      <c r="AM3" s="125" t="s">
        <v>65</v>
      </c>
      <c r="AN3" s="125" t="s">
        <v>60</v>
      </c>
      <c r="AO3" s="48"/>
      <c r="AP3" s="132" t="s">
        <v>60</v>
      </c>
      <c r="AQ3" s="45"/>
      <c r="AR3" s="125" t="s">
        <v>64</v>
      </c>
      <c r="AS3" s="125" t="s">
        <v>65</v>
      </c>
      <c r="AT3" s="125" t="s">
        <v>60</v>
      </c>
      <c r="AU3" s="48"/>
      <c r="AV3" s="132" t="s">
        <v>60</v>
      </c>
      <c r="AW3" s="45"/>
      <c r="AX3" s="132" t="s">
        <v>66</v>
      </c>
      <c r="AY3" s="132" t="s">
        <v>67</v>
      </c>
      <c r="AZ3" s="132" t="s">
        <v>68</v>
      </c>
      <c r="BE3" s="125" t="s">
        <v>64</v>
      </c>
      <c r="BF3" s="125" t="s">
        <v>65</v>
      </c>
      <c r="BG3" s="125" t="s">
        <v>60</v>
      </c>
      <c r="BH3" s="125" t="s">
        <v>146</v>
      </c>
      <c r="BI3" s="125" t="s">
        <v>145</v>
      </c>
      <c r="BK3" s="125" t="s">
        <v>64</v>
      </c>
      <c r="BL3" s="125" t="s">
        <v>65</v>
      </c>
      <c r="BM3" s="125" t="s">
        <v>60</v>
      </c>
      <c r="BO3" s="125" t="s">
        <v>64</v>
      </c>
      <c r="BP3" s="125" t="s">
        <v>65</v>
      </c>
      <c r="BQ3" s="125" t="s">
        <v>60</v>
      </c>
      <c r="CE3" s="140" t="s">
        <v>64</v>
      </c>
      <c r="CF3" s="140" t="s">
        <v>65</v>
      </c>
      <c r="CG3" s="140" t="s">
        <v>60</v>
      </c>
      <c r="CJ3" s="68">
        <v>0.41666666666666669</v>
      </c>
    </row>
    <row r="4" spans="1:97" ht="33.950000000000003" customHeight="1" x14ac:dyDescent="0.25">
      <c r="A4" s="126"/>
      <c r="B4" s="127"/>
      <c r="C4" s="129"/>
      <c r="D4" s="75"/>
      <c r="E4" s="75"/>
      <c r="F4" s="75"/>
      <c r="G4" s="75"/>
      <c r="H4" s="123"/>
      <c r="I4" s="123"/>
      <c r="J4" s="46"/>
      <c r="K4" s="130"/>
      <c r="L4" s="74"/>
      <c r="M4" s="130"/>
      <c r="N4" s="47"/>
      <c r="O4" s="125"/>
      <c r="P4" s="125"/>
      <c r="Q4" s="125"/>
      <c r="R4" s="46"/>
      <c r="S4" s="132"/>
      <c r="U4" s="125"/>
      <c r="V4" s="125"/>
      <c r="W4" s="125"/>
      <c r="X4" s="46"/>
      <c r="Y4" s="132"/>
      <c r="AA4" s="125"/>
      <c r="AB4" s="125"/>
      <c r="AC4" s="125"/>
      <c r="AD4" s="46"/>
      <c r="AE4" s="132"/>
      <c r="AF4" s="45"/>
      <c r="AG4" s="125"/>
      <c r="AH4" s="125"/>
      <c r="AI4" s="125"/>
      <c r="AJ4" s="48"/>
      <c r="AK4" s="132"/>
      <c r="AL4" s="125"/>
      <c r="AM4" s="125"/>
      <c r="AN4" s="125"/>
      <c r="AO4" s="48"/>
      <c r="AP4" s="132"/>
      <c r="AQ4" s="45"/>
      <c r="AR4" s="125"/>
      <c r="AS4" s="125"/>
      <c r="AT4" s="125"/>
      <c r="AU4" s="48"/>
      <c r="AV4" s="132"/>
      <c r="AW4" s="45"/>
      <c r="AX4" s="132"/>
      <c r="AY4" s="132"/>
      <c r="AZ4" s="132"/>
      <c r="BE4" s="125"/>
      <c r="BF4" s="125"/>
      <c r="BG4" s="125"/>
      <c r="BH4" s="125"/>
      <c r="BI4" s="125"/>
      <c r="BK4" s="125"/>
      <c r="BL4" s="125"/>
      <c r="BM4" s="125"/>
      <c r="BO4" s="125"/>
      <c r="BP4" s="125"/>
      <c r="BQ4" s="125"/>
      <c r="BY4" s="104" t="s">
        <v>136</v>
      </c>
      <c r="BZ4" s="104" t="s">
        <v>137</v>
      </c>
      <c r="CE4" s="140"/>
      <c r="CF4" s="140"/>
      <c r="CG4" s="140"/>
      <c r="CP4" s="81" t="s">
        <v>111</v>
      </c>
      <c r="CQ4" s="81" t="s">
        <v>112</v>
      </c>
      <c r="CR4" s="81" t="s">
        <v>134</v>
      </c>
      <c r="CS4" s="81" t="s">
        <v>135</v>
      </c>
    </row>
    <row r="5" spans="1:97" ht="20.100000000000001" customHeight="1" x14ac:dyDescent="0.25">
      <c r="A5" s="113">
        <f>G33</f>
        <v>557228745.73800004</v>
      </c>
      <c r="B5" s="134" t="s">
        <v>69</v>
      </c>
      <c r="C5" s="49" t="s">
        <v>70</v>
      </c>
      <c r="D5" s="50">
        <v>13</v>
      </c>
      <c r="E5" s="50">
        <v>2.7</v>
      </c>
      <c r="F5" s="51">
        <v>9685000</v>
      </c>
      <c r="G5" s="51">
        <f>+F5*E5*D5</f>
        <v>339943500</v>
      </c>
      <c r="H5" s="51">
        <v>147405700</v>
      </c>
      <c r="I5" s="72">
        <f>H5/G5</f>
        <v>0.4336182336182336</v>
      </c>
      <c r="J5" s="52"/>
      <c r="K5" s="50">
        <v>13</v>
      </c>
      <c r="L5" s="51">
        <v>7975000</v>
      </c>
      <c r="M5" s="51">
        <f>L5*K5</f>
        <v>103675000</v>
      </c>
      <c r="N5" s="52"/>
      <c r="O5" s="50">
        <v>8.9</v>
      </c>
      <c r="P5" s="51">
        <f>$L$5</f>
        <v>7975000</v>
      </c>
      <c r="Q5" s="53">
        <f>P5*O5</f>
        <v>70977500</v>
      </c>
      <c r="R5" s="54"/>
      <c r="S5" s="53">
        <f>$G$5-Q5</f>
        <v>268966000</v>
      </c>
      <c r="U5" s="50">
        <v>13</v>
      </c>
      <c r="V5" s="51">
        <f>$L$5</f>
        <v>7975000</v>
      </c>
      <c r="W5" s="53">
        <f>V5*U5</f>
        <v>103675000</v>
      </c>
      <c r="X5" s="54"/>
      <c r="Y5" s="53">
        <f>S5-W5</f>
        <v>165291000</v>
      </c>
      <c r="AA5" s="50">
        <v>13</v>
      </c>
      <c r="AB5" s="51">
        <v>7975000</v>
      </c>
      <c r="AC5" s="53">
        <f>AB5*AA5</f>
        <v>103675000</v>
      </c>
      <c r="AD5" s="54"/>
      <c r="AE5" s="53">
        <f>$Y$5-AC5</f>
        <v>61616000</v>
      </c>
      <c r="AF5" s="45"/>
      <c r="AG5" s="50">
        <v>13</v>
      </c>
      <c r="AH5" s="51">
        <f>$L$5</f>
        <v>7975000</v>
      </c>
      <c r="AI5" s="53">
        <f>AH5*AG5</f>
        <v>103675000</v>
      </c>
      <c r="AJ5" s="55"/>
      <c r="AK5" s="53">
        <f>AE5-AI5</f>
        <v>-42059000</v>
      </c>
      <c r="AL5" s="50">
        <v>13</v>
      </c>
      <c r="AM5" s="51">
        <f>$L$5</f>
        <v>7975000</v>
      </c>
      <c r="AN5" s="53">
        <f>AM5*AL5</f>
        <v>103675000</v>
      </c>
      <c r="AO5" s="55"/>
      <c r="AP5" s="53">
        <f t="shared" ref="AP5:AP30" si="0">AK5-AN5</f>
        <v>-145734000</v>
      </c>
      <c r="AQ5" s="45"/>
      <c r="AR5" s="50">
        <v>13</v>
      </c>
      <c r="AS5" s="51">
        <f>$L$5</f>
        <v>7975000</v>
      </c>
      <c r="AT5" s="53">
        <f>(AS5*AR5)</f>
        <v>103675000</v>
      </c>
      <c r="AU5" s="55"/>
      <c r="AV5" s="66">
        <f>AP5-AT5</f>
        <v>-249409000</v>
      </c>
      <c r="AW5" s="45"/>
      <c r="AX5" s="53">
        <f t="shared" ref="AX5:AX31" si="1">AC5+W5+Q5+AI5+AN5+AT5</f>
        <v>589352500</v>
      </c>
      <c r="AY5" s="53">
        <f t="shared" ref="AY5:AY30" si="2">G5-AX5</f>
        <v>-249409000</v>
      </c>
      <c r="AZ5" s="53">
        <f t="shared" ref="AZ5:AZ31" si="3">G5-AY5</f>
        <v>589352500</v>
      </c>
      <c r="BE5" s="50">
        <v>13</v>
      </c>
      <c r="BF5" s="51">
        <f>+F5</f>
        <v>9685000</v>
      </c>
      <c r="BG5" s="53">
        <f>(BF5*BE5)</f>
        <v>125905000</v>
      </c>
      <c r="BH5" s="50">
        <v>13</v>
      </c>
      <c r="BI5" s="51">
        <f>+BH5*BF5</f>
        <v>125905000</v>
      </c>
      <c r="BK5" s="80">
        <v>12</v>
      </c>
      <c r="BL5" s="51">
        <f>$L$5</f>
        <v>7975000</v>
      </c>
      <c r="BM5" s="53">
        <f>(BL5*BK5)</f>
        <v>95700000</v>
      </c>
      <c r="BO5" s="50">
        <v>12</v>
      </c>
      <c r="BP5" s="51">
        <f>$L$5</f>
        <v>7975000</v>
      </c>
      <c r="BQ5" s="53">
        <f>(BP5*BO5)/30*27</f>
        <v>86130000</v>
      </c>
      <c r="BY5" s="103">
        <f>BP5</f>
        <v>7975000</v>
      </c>
      <c r="BZ5" s="103">
        <f>BY5*2</f>
        <v>15950000</v>
      </c>
      <c r="CE5" s="50">
        <v>4</v>
      </c>
      <c r="CF5" s="51">
        <f>$L$5</f>
        <v>7975000</v>
      </c>
      <c r="CG5" s="53">
        <f>Hoja4!I5</f>
        <v>13557499.999999998</v>
      </c>
      <c r="CJ5" s="60">
        <f>CF5/240</f>
        <v>33229.166666666664</v>
      </c>
      <c r="CK5" s="60">
        <f>CJ5*150%</f>
        <v>49843.75</v>
      </c>
      <c r="CL5" s="60"/>
      <c r="CM5" s="60"/>
      <c r="CP5" s="3">
        <v>1</v>
      </c>
      <c r="CQ5" s="60">
        <f>$CF$5/30</f>
        <v>265833.33333333331</v>
      </c>
      <c r="CR5" s="3">
        <v>6</v>
      </c>
      <c r="CS5" s="60">
        <f>CR5*CQ5</f>
        <v>1595000</v>
      </c>
    </row>
    <row r="6" spans="1:97" ht="20.100000000000001" customHeight="1" x14ac:dyDescent="0.25">
      <c r="A6" s="64"/>
      <c r="B6" s="134"/>
      <c r="C6" s="49" t="s">
        <v>71</v>
      </c>
      <c r="D6" s="50">
        <v>1</v>
      </c>
      <c r="E6" s="50">
        <v>2.7</v>
      </c>
      <c r="F6" s="51">
        <v>9300000</v>
      </c>
      <c r="G6" s="51">
        <f t="shared" ref="G6:G30" si="4">+F6*E6*D6</f>
        <v>25110000</v>
      </c>
      <c r="H6" s="51">
        <v>10881000</v>
      </c>
      <c r="I6" s="72">
        <f t="shared" ref="I6:I10" si="5">H6/G6</f>
        <v>0.43333333333333335</v>
      </c>
      <c r="J6" s="52"/>
      <c r="K6" s="50">
        <v>1</v>
      </c>
      <c r="L6" s="51">
        <v>8250000</v>
      </c>
      <c r="M6" s="51">
        <f t="shared" ref="M6:M30" si="6">L6*K6</f>
        <v>8250000</v>
      </c>
      <c r="N6" s="52"/>
      <c r="O6" s="50">
        <v>0.83</v>
      </c>
      <c r="P6" s="51">
        <f>$L$6</f>
        <v>8250000</v>
      </c>
      <c r="Q6" s="53">
        <v>6875000</v>
      </c>
      <c r="R6" s="54"/>
      <c r="S6" s="53">
        <f>$G$6-Q6</f>
        <v>18235000</v>
      </c>
      <c r="U6" s="50">
        <v>1</v>
      </c>
      <c r="V6" s="51">
        <f>$L$6</f>
        <v>8250000</v>
      </c>
      <c r="W6" s="53">
        <f>V6*U6</f>
        <v>8250000</v>
      </c>
      <c r="X6" s="54"/>
      <c r="Y6" s="53">
        <f>S6-W6</f>
        <v>9985000</v>
      </c>
      <c r="AA6" s="50">
        <v>1</v>
      </c>
      <c r="AB6" s="51">
        <v>8250000</v>
      </c>
      <c r="AC6" s="53">
        <f>AB6*AA6</f>
        <v>8250000</v>
      </c>
      <c r="AD6" s="54"/>
      <c r="AE6" s="53">
        <f>$Y$6-AC6</f>
        <v>1735000</v>
      </c>
      <c r="AF6" s="45"/>
      <c r="AG6" s="50">
        <v>1</v>
      </c>
      <c r="AH6" s="51">
        <f>$L$6</f>
        <v>8250000</v>
      </c>
      <c r="AI6" s="53">
        <f>AH6*AG6</f>
        <v>8250000</v>
      </c>
      <c r="AJ6" s="55"/>
      <c r="AK6" s="53">
        <f t="shared" ref="AK6:AK30" si="7">AE6-AI6</f>
        <v>-6515000</v>
      </c>
      <c r="AL6" s="50">
        <v>1</v>
      </c>
      <c r="AM6" s="51">
        <f>$L$6</f>
        <v>8250000</v>
      </c>
      <c r="AN6" s="53">
        <f>AM6*AL6</f>
        <v>8250000</v>
      </c>
      <c r="AO6" s="55"/>
      <c r="AP6" s="53">
        <f t="shared" si="0"/>
        <v>-14765000</v>
      </c>
      <c r="AQ6" s="45"/>
      <c r="AR6" s="50">
        <v>1</v>
      </c>
      <c r="AS6" s="51">
        <f>$L$6</f>
        <v>8250000</v>
      </c>
      <c r="AT6" s="53">
        <f t="shared" ref="AT6:AT30" si="8">(AS6*AR6)</f>
        <v>8250000</v>
      </c>
      <c r="AU6" s="55"/>
      <c r="AV6" s="53">
        <f t="shared" ref="AV6:AV30" si="9">AP6-AT6</f>
        <v>-23015000</v>
      </c>
      <c r="AW6" s="45"/>
      <c r="AX6" s="53">
        <f t="shared" si="1"/>
        <v>48125000</v>
      </c>
      <c r="AY6" s="56">
        <f t="shared" si="2"/>
        <v>-23015000</v>
      </c>
      <c r="AZ6" s="53">
        <f t="shared" si="3"/>
        <v>48125000</v>
      </c>
      <c r="BE6" s="50">
        <v>1</v>
      </c>
      <c r="BF6" s="51">
        <f t="shared" ref="BF6:BF30" si="10">+F6</f>
        <v>9300000</v>
      </c>
      <c r="BG6" s="53">
        <f>(BF6*BE6)</f>
        <v>9300000</v>
      </c>
      <c r="BH6" s="50">
        <v>1</v>
      </c>
      <c r="BI6" s="51">
        <f t="shared" ref="BI6:BI30" si="11">+BH6*BF6</f>
        <v>9300000</v>
      </c>
      <c r="BK6" s="50">
        <v>1</v>
      </c>
      <c r="BL6" s="51">
        <f>$L$6</f>
        <v>8250000</v>
      </c>
      <c r="BM6" s="53">
        <f>(BL6*BK6)</f>
        <v>8250000</v>
      </c>
      <c r="BO6" s="50">
        <v>1</v>
      </c>
      <c r="BP6" s="51">
        <f>$L$6</f>
        <v>8250000</v>
      </c>
      <c r="BQ6" s="53">
        <f>(BP6*BO6)/30*27</f>
        <v>7425000</v>
      </c>
      <c r="CE6" s="50">
        <v>0</v>
      </c>
      <c r="CF6" s="51">
        <f>$L$6</f>
        <v>8250000</v>
      </c>
      <c r="CG6" s="53">
        <f>Hoja4!I6</f>
        <v>3300000</v>
      </c>
      <c r="CI6" s="69">
        <v>4204000</v>
      </c>
      <c r="CJ6" s="70">
        <f>CI6/240</f>
        <v>17516.666666666668</v>
      </c>
      <c r="CK6" s="60">
        <f>CJ6*150%</f>
        <v>26275</v>
      </c>
      <c r="CL6" s="60"/>
      <c r="CM6" s="60"/>
      <c r="CP6" s="3">
        <v>2</v>
      </c>
      <c r="CQ6" s="60">
        <f t="shared" ref="CQ6:CQ17" si="12">$CF$5/30</f>
        <v>265833.33333333331</v>
      </c>
      <c r="CR6" s="3">
        <v>6</v>
      </c>
      <c r="CS6" s="60">
        <f t="shared" ref="CS6:CS17" si="13">CR6*CQ6</f>
        <v>1595000</v>
      </c>
    </row>
    <row r="7" spans="1:97" ht="20.100000000000001" customHeight="1" x14ac:dyDescent="0.25">
      <c r="A7" s="64"/>
      <c r="B7" s="134"/>
      <c r="C7" s="49" t="s">
        <v>72</v>
      </c>
      <c r="D7" s="50">
        <v>1</v>
      </c>
      <c r="E7" s="50">
        <v>2.7</v>
      </c>
      <c r="F7" s="51">
        <v>8064000</v>
      </c>
      <c r="G7" s="51">
        <f t="shared" si="4"/>
        <v>21772800</v>
      </c>
      <c r="H7" s="51">
        <v>9676800</v>
      </c>
      <c r="I7" s="72">
        <f t="shared" si="5"/>
        <v>0.44444444444444442</v>
      </c>
      <c r="J7" s="52"/>
      <c r="K7" s="50">
        <v>1</v>
      </c>
      <c r="L7" s="51">
        <v>7000000</v>
      </c>
      <c r="M7" s="51">
        <f t="shared" si="6"/>
        <v>7000000</v>
      </c>
      <c r="N7" s="52"/>
      <c r="O7" s="50">
        <v>0.83</v>
      </c>
      <c r="P7" s="51">
        <f>$L$7</f>
        <v>7000000</v>
      </c>
      <c r="Q7" s="53">
        <v>5833300</v>
      </c>
      <c r="R7" s="54"/>
      <c r="S7" s="53">
        <f>$G$7-Q7</f>
        <v>15939500</v>
      </c>
      <c r="U7" s="50">
        <v>1</v>
      </c>
      <c r="V7" s="51">
        <f>$L$7</f>
        <v>7000000</v>
      </c>
      <c r="W7" s="53">
        <f>V7*U7</f>
        <v>7000000</v>
      </c>
      <c r="X7" s="54"/>
      <c r="Y7" s="53">
        <f>$S$7-W7</f>
        <v>8939500</v>
      </c>
      <c r="AA7" s="50">
        <v>1</v>
      </c>
      <c r="AB7" s="51">
        <v>7000000</v>
      </c>
      <c r="AC7" s="53">
        <f>AB7*AA7</f>
        <v>7000000</v>
      </c>
      <c r="AD7" s="54"/>
      <c r="AE7" s="53">
        <f>$Y$7-AC7</f>
        <v>1939500</v>
      </c>
      <c r="AF7" s="45"/>
      <c r="AG7" s="50">
        <v>1</v>
      </c>
      <c r="AH7" s="51">
        <f>$L$7</f>
        <v>7000000</v>
      </c>
      <c r="AI7" s="53">
        <f>AH7*AG7</f>
        <v>7000000</v>
      </c>
      <c r="AJ7" s="55"/>
      <c r="AK7" s="53">
        <f t="shared" si="7"/>
        <v>-5060500</v>
      </c>
      <c r="AL7" s="50">
        <v>1</v>
      </c>
      <c r="AM7" s="51">
        <f>$L$7</f>
        <v>7000000</v>
      </c>
      <c r="AN7" s="53">
        <f>AM7*AL7</f>
        <v>7000000</v>
      </c>
      <c r="AO7" s="55"/>
      <c r="AP7" s="53">
        <f t="shared" si="0"/>
        <v>-12060500</v>
      </c>
      <c r="AQ7" s="45"/>
      <c r="AR7" s="50">
        <v>1</v>
      </c>
      <c r="AS7" s="51">
        <f>$L$7</f>
        <v>7000000</v>
      </c>
      <c r="AT7" s="53">
        <f t="shared" si="8"/>
        <v>7000000</v>
      </c>
      <c r="AU7" s="55"/>
      <c r="AV7" s="53">
        <f t="shared" si="9"/>
        <v>-19060500</v>
      </c>
      <c r="AW7" s="45"/>
      <c r="AX7" s="53">
        <f t="shared" si="1"/>
        <v>40833300</v>
      </c>
      <c r="AY7" s="56">
        <f t="shared" si="2"/>
        <v>-19060500</v>
      </c>
      <c r="AZ7" s="53">
        <f t="shared" si="3"/>
        <v>40833300</v>
      </c>
      <c r="BE7" s="50">
        <v>1</v>
      </c>
      <c r="BF7" s="51">
        <f t="shared" si="10"/>
        <v>8064000</v>
      </c>
      <c r="BG7" s="53">
        <f>(BF7*BE7)</f>
        <v>8064000</v>
      </c>
      <c r="BH7" s="50">
        <v>1</v>
      </c>
      <c r="BI7" s="51">
        <f t="shared" si="11"/>
        <v>8064000</v>
      </c>
      <c r="BK7" s="50">
        <v>1</v>
      </c>
      <c r="BL7" s="51">
        <f>$L$7</f>
        <v>7000000</v>
      </c>
      <c r="BM7" s="53">
        <f>(BL7*BK7)</f>
        <v>7000000</v>
      </c>
      <c r="BO7" s="50">
        <v>1</v>
      </c>
      <c r="BP7" s="51">
        <f>$L$7</f>
        <v>7000000</v>
      </c>
      <c r="BQ7" s="53">
        <f>(BP7*BO7)/30*27</f>
        <v>6300000</v>
      </c>
      <c r="BY7" s="60"/>
      <c r="BZ7" s="60"/>
      <c r="CE7" s="50">
        <v>0</v>
      </c>
      <c r="CF7" s="51">
        <f>$L$7</f>
        <v>7000000</v>
      </c>
      <c r="CG7" s="53">
        <f>(CF7*CE7)/30*24</f>
        <v>0</v>
      </c>
      <c r="CP7" s="3">
        <v>3</v>
      </c>
      <c r="CQ7" s="60">
        <f t="shared" si="12"/>
        <v>265833.33333333331</v>
      </c>
      <c r="CR7" s="3">
        <v>6</v>
      </c>
      <c r="CS7" s="60">
        <f t="shared" si="13"/>
        <v>1595000</v>
      </c>
    </row>
    <row r="8" spans="1:97" ht="20.100000000000001" customHeight="1" x14ac:dyDescent="0.25">
      <c r="A8" s="64"/>
      <c r="B8" s="134"/>
      <c r="C8" s="49" t="s">
        <v>73</v>
      </c>
      <c r="D8" s="50">
        <v>1</v>
      </c>
      <c r="E8" s="50">
        <v>2</v>
      </c>
      <c r="F8" s="51">
        <v>4400000</v>
      </c>
      <c r="G8" s="51">
        <f t="shared" si="4"/>
        <v>8800000</v>
      </c>
      <c r="H8" s="51">
        <v>6600000</v>
      </c>
      <c r="I8" s="72">
        <f t="shared" si="5"/>
        <v>0.75</v>
      </c>
      <c r="J8" s="52"/>
      <c r="K8" s="50">
        <v>1</v>
      </c>
      <c r="L8" s="51">
        <v>5226000</v>
      </c>
      <c r="M8" s="51">
        <f t="shared" si="6"/>
        <v>5226000</v>
      </c>
      <c r="N8" s="52"/>
      <c r="O8" s="50">
        <v>0</v>
      </c>
      <c r="P8" s="53">
        <f>(L8/30)*O8</f>
        <v>0</v>
      </c>
      <c r="Q8" s="53">
        <f t="shared" ref="Q8:Q30" si="14">P8*O8</f>
        <v>0</v>
      </c>
      <c r="R8" s="54"/>
      <c r="S8" s="53">
        <f>$G$8-Q8</f>
        <v>8800000</v>
      </c>
      <c r="U8" s="50">
        <v>0</v>
      </c>
      <c r="V8" s="53">
        <f>(R8/30)*U8</f>
        <v>0</v>
      </c>
      <c r="W8" s="53">
        <f t="shared" ref="W8:W30" si="15">V8*U8</f>
        <v>0</v>
      </c>
      <c r="X8" s="54"/>
      <c r="Y8" s="53">
        <f>$S$8-W8</f>
        <v>8800000</v>
      </c>
      <c r="AA8" s="50">
        <v>0</v>
      </c>
      <c r="AB8" s="53">
        <v>0</v>
      </c>
      <c r="AC8" s="53">
        <f t="shared" ref="AC8" si="16">AB8*AA8</f>
        <v>0</v>
      </c>
      <c r="AD8" s="54"/>
      <c r="AE8" s="53">
        <f>$Y$8-AC8</f>
        <v>8800000</v>
      </c>
      <c r="AF8" s="45"/>
      <c r="AG8" s="50">
        <v>1</v>
      </c>
      <c r="AH8" s="51">
        <f>$L$8</f>
        <v>5226000</v>
      </c>
      <c r="AI8" s="53">
        <f t="shared" ref="AI8" si="17">AH8*AG8</f>
        <v>5226000</v>
      </c>
      <c r="AJ8" s="55"/>
      <c r="AK8" s="53">
        <f t="shared" si="7"/>
        <v>3574000</v>
      </c>
      <c r="AL8" s="50">
        <v>0</v>
      </c>
      <c r="AM8" s="53">
        <f>(AJ8/30)*AL8</f>
        <v>0</v>
      </c>
      <c r="AN8" s="53">
        <f t="shared" ref="AN8:AN9" si="18">AM8*AL8</f>
        <v>0</v>
      </c>
      <c r="AO8" s="55"/>
      <c r="AP8" s="53">
        <f t="shared" si="0"/>
        <v>3574000</v>
      </c>
      <c r="AQ8" s="45"/>
      <c r="AR8" s="50">
        <v>0</v>
      </c>
      <c r="AS8" s="53">
        <f>(AO8/30)*AR8</f>
        <v>0</v>
      </c>
      <c r="AT8" s="53">
        <f t="shared" si="8"/>
        <v>0</v>
      </c>
      <c r="AU8" s="55"/>
      <c r="AV8" s="53">
        <f t="shared" si="9"/>
        <v>3574000</v>
      </c>
      <c r="AW8" s="45"/>
      <c r="AX8" s="53">
        <f t="shared" si="1"/>
        <v>5226000</v>
      </c>
      <c r="AY8" s="53">
        <f t="shared" si="2"/>
        <v>3574000</v>
      </c>
      <c r="AZ8" s="53">
        <f t="shared" si="3"/>
        <v>5226000</v>
      </c>
      <c r="BE8" s="50">
        <v>1</v>
      </c>
      <c r="BF8" s="51">
        <f t="shared" si="10"/>
        <v>4400000</v>
      </c>
      <c r="BG8" s="53">
        <f>BF8*BE8</f>
        <v>4400000</v>
      </c>
      <c r="BH8" s="50">
        <v>1</v>
      </c>
      <c r="BI8" s="51">
        <f t="shared" si="11"/>
        <v>4400000</v>
      </c>
      <c r="BK8" s="50">
        <v>0</v>
      </c>
      <c r="BL8" s="53">
        <f>(BF8/30)*BK8</f>
        <v>0</v>
      </c>
      <c r="BM8" s="53">
        <f t="shared" ref="BM8:BM9" si="19">BL8*BK8</f>
        <v>0</v>
      </c>
      <c r="BO8" s="50">
        <v>0</v>
      </c>
      <c r="BP8" s="53">
        <f>(BL8/30)*BO8</f>
        <v>0</v>
      </c>
      <c r="BQ8" s="53">
        <f t="shared" ref="BQ8:BQ9" si="20">BP8*BO8</f>
        <v>0</v>
      </c>
      <c r="BY8" s="60"/>
      <c r="BZ8" s="60"/>
      <c r="CE8" s="50">
        <v>0</v>
      </c>
      <c r="CF8" s="53">
        <f>(BR8/30)*CE8</f>
        <v>0</v>
      </c>
      <c r="CG8" s="53">
        <f t="shared" ref="CG8:CG9" si="21">CF8*CE8</f>
        <v>0</v>
      </c>
      <c r="CP8" s="3">
        <v>4</v>
      </c>
      <c r="CQ8" s="60">
        <f t="shared" si="12"/>
        <v>265833.33333333331</v>
      </c>
      <c r="CR8" s="3">
        <v>6</v>
      </c>
      <c r="CS8" s="60">
        <f t="shared" si="13"/>
        <v>1595000</v>
      </c>
    </row>
    <row r="9" spans="1:97" ht="20.100000000000001" customHeight="1" x14ac:dyDescent="0.25">
      <c r="A9" s="64"/>
      <c r="B9" s="135" t="s">
        <v>74</v>
      </c>
      <c r="C9" s="49" t="s">
        <v>75</v>
      </c>
      <c r="D9" s="50">
        <v>1</v>
      </c>
      <c r="E9" s="50">
        <v>50</v>
      </c>
      <c r="F9" s="51">
        <v>310000</v>
      </c>
      <c r="G9" s="51">
        <f t="shared" si="4"/>
        <v>15500000</v>
      </c>
      <c r="H9" s="51">
        <v>15500000</v>
      </c>
      <c r="I9" s="72">
        <f t="shared" si="5"/>
        <v>1</v>
      </c>
      <c r="J9" s="52"/>
      <c r="K9" s="50">
        <v>1</v>
      </c>
      <c r="L9" s="51">
        <v>161000</v>
      </c>
      <c r="M9" s="51">
        <f t="shared" si="6"/>
        <v>161000</v>
      </c>
      <c r="N9" s="52"/>
      <c r="O9" s="50">
        <v>0</v>
      </c>
      <c r="P9" s="53">
        <f>(L9/30)*O9</f>
        <v>0</v>
      </c>
      <c r="Q9" s="53">
        <f t="shared" si="14"/>
        <v>0</v>
      </c>
      <c r="R9" s="54"/>
      <c r="S9" s="53">
        <f>$G$9-Q9</f>
        <v>15500000</v>
      </c>
      <c r="U9" s="50">
        <v>3.8</v>
      </c>
      <c r="V9" s="53">
        <v>161000</v>
      </c>
      <c r="W9" s="53">
        <f>V9*U9</f>
        <v>611800</v>
      </c>
      <c r="X9" s="54"/>
      <c r="Y9" s="53">
        <f>$S$9-W9</f>
        <v>14888200</v>
      </c>
      <c r="AA9" s="50">
        <v>0</v>
      </c>
      <c r="AB9" s="53">
        <v>0</v>
      </c>
      <c r="AC9" s="53">
        <f t="shared" ref="AC9:AC10" si="22">AB9*AA9</f>
        <v>0</v>
      </c>
      <c r="AD9" s="54"/>
      <c r="AE9" s="53">
        <f>$Y$9-AC9</f>
        <v>14888200</v>
      </c>
      <c r="AF9" s="45"/>
      <c r="AG9" s="50"/>
      <c r="AH9" s="51">
        <f>$L$9</f>
        <v>161000</v>
      </c>
      <c r="AI9" s="53">
        <f t="shared" ref="AI9:AI10" si="23">AH9*AG9</f>
        <v>0</v>
      </c>
      <c r="AJ9" s="55"/>
      <c r="AK9" s="53">
        <f t="shared" si="7"/>
        <v>14888200</v>
      </c>
      <c r="AL9" s="50">
        <v>40</v>
      </c>
      <c r="AM9" s="51">
        <v>161000</v>
      </c>
      <c r="AN9" s="53">
        <f t="shared" si="18"/>
        <v>6440000</v>
      </c>
      <c r="AO9" s="55"/>
      <c r="AP9" s="53">
        <f t="shared" si="0"/>
        <v>8448200</v>
      </c>
      <c r="AQ9" s="45"/>
      <c r="AR9" s="50">
        <v>0</v>
      </c>
      <c r="AS9" s="53">
        <f>(AO9/30)*AR9</f>
        <v>0</v>
      </c>
      <c r="AT9" s="53">
        <f t="shared" si="8"/>
        <v>0</v>
      </c>
      <c r="AU9" s="55"/>
      <c r="AV9" s="66">
        <f t="shared" si="9"/>
        <v>8448200</v>
      </c>
      <c r="AW9" s="45"/>
      <c r="AX9" s="53">
        <f t="shared" si="1"/>
        <v>7051800</v>
      </c>
      <c r="AY9" s="53">
        <f t="shared" si="2"/>
        <v>8448200</v>
      </c>
      <c r="AZ9" s="53">
        <f t="shared" si="3"/>
        <v>7051800</v>
      </c>
      <c r="BE9" s="50">
        <v>18</v>
      </c>
      <c r="BF9" s="51">
        <f t="shared" si="10"/>
        <v>310000</v>
      </c>
      <c r="BG9" s="54">
        <f>BF9*BE9</f>
        <v>5580000</v>
      </c>
      <c r="BH9" s="50">
        <v>0</v>
      </c>
      <c r="BI9" s="51">
        <f t="shared" si="11"/>
        <v>0</v>
      </c>
      <c r="BK9" s="50">
        <v>0</v>
      </c>
      <c r="BL9" s="53">
        <f>(BF9/30)*BK9</f>
        <v>0</v>
      </c>
      <c r="BM9" s="54">
        <f t="shared" si="19"/>
        <v>0</v>
      </c>
      <c r="BO9" s="50">
        <v>0</v>
      </c>
      <c r="BP9" s="53">
        <f>(BL9/30)*BO9</f>
        <v>0</v>
      </c>
      <c r="BQ9" s="54">
        <f t="shared" si="20"/>
        <v>0</v>
      </c>
      <c r="BY9" s="60"/>
      <c r="BZ9" s="60"/>
      <c r="CE9" s="50">
        <v>0</v>
      </c>
      <c r="CF9" s="53">
        <f>(BR9/30)*CE9</f>
        <v>0</v>
      </c>
      <c r="CG9" s="54">
        <f t="shared" si="21"/>
        <v>0</v>
      </c>
      <c r="CP9" s="3">
        <v>5</v>
      </c>
      <c r="CQ9" s="60">
        <f t="shared" si="12"/>
        <v>265833.33333333331</v>
      </c>
      <c r="CR9" s="3">
        <v>6</v>
      </c>
      <c r="CS9" s="60">
        <f t="shared" si="13"/>
        <v>1595000</v>
      </c>
    </row>
    <row r="10" spans="1:97" ht="20.100000000000001" customHeight="1" x14ac:dyDescent="0.25">
      <c r="A10" s="64"/>
      <c r="B10" s="135"/>
      <c r="C10" s="49" t="s">
        <v>76</v>
      </c>
      <c r="D10" s="50">
        <v>1</v>
      </c>
      <c r="E10" s="50">
        <v>2.7</v>
      </c>
      <c r="F10" s="51">
        <v>5500000</v>
      </c>
      <c r="G10" s="51">
        <f t="shared" si="4"/>
        <v>14850000.000000002</v>
      </c>
      <c r="H10" s="51">
        <v>3520000</v>
      </c>
      <c r="I10" s="72">
        <f t="shared" si="5"/>
        <v>0.23703703703703702</v>
      </c>
      <c r="J10" s="52"/>
      <c r="K10" s="50">
        <v>1</v>
      </c>
      <c r="L10" s="51">
        <v>282000</v>
      </c>
      <c r="M10" s="51">
        <f t="shared" si="6"/>
        <v>282000</v>
      </c>
      <c r="N10" s="52"/>
      <c r="O10" s="50">
        <v>1</v>
      </c>
      <c r="P10" s="53">
        <f>($L$10)*O10</f>
        <v>282000</v>
      </c>
      <c r="Q10" s="53">
        <f t="shared" si="14"/>
        <v>282000</v>
      </c>
      <c r="R10" s="54"/>
      <c r="S10" s="53">
        <f>$G$10-Q10</f>
        <v>14568000.000000002</v>
      </c>
      <c r="U10" s="50">
        <v>1</v>
      </c>
      <c r="V10" s="53">
        <f>($L$10)*U10</f>
        <v>282000</v>
      </c>
      <c r="W10" s="53">
        <f t="shared" si="15"/>
        <v>282000</v>
      </c>
      <c r="X10" s="54"/>
      <c r="Y10" s="53">
        <f>$S$10-W10</f>
        <v>14286000.000000002</v>
      </c>
      <c r="AA10" s="50">
        <v>1</v>
      </c>
      <c r="AB10" s="53">
        <v>282000</v>
      </c>
      <c r="AC10" s="53">
        <f t="shared" si="22"/>
        <v>282000</v>
      </c>
      <c r="AD10" s="54"/>
      <c r="AE10" s="53">
        <f>$Y$10-AC10</f>
        <v>14004000.000000002</v>
      </c>
      <c r="AF10" s="45"/>
      <c r="AG10" s="50">
        <v>1</v>
      </c>
      <c r="AH10" s="53">
        <f>($L$10)*AG10</f>
        <v>282000</v>
      </c>
      <c r="AI10" s="53">
        <f t="shared" si="23"/>
        <v>282000</v>
      </c>
      <c r="AJ10" s="55"/>
      <c r="AK10" s="53">
        <f t="shared" si="7"/>
        <v>13722000.000000002</v>
      </c>
      <c r="AL10" s="50">
        <v>1</v>
      </c>
      <c r="AM10" s="53">
        <f>($L$10)*AL10</f>
        <v>282000</v>
      </c>
      <c r="AN10" s="53">
        <f t="shared" ref="AN10" si="24">AM10*AL10</f>
        <v>282000</v>
      </c>
      <c r="AO10" s="55"/>
      <c r="AP10" s="53">
        <f t="shared" si="0"/>
        <v>13440000.000000002</v>
      </c>
      <c r="AQ10" s="45"/>
      <c r="AR10" s="50">
        <v>1</v>
      </c>
      <c r="AS10" s="53">
        <f>($L$10)*AR10</f>
        <v>282000</v>
      </c>
      <c r="AT10" s="53">
        <f t="shared" si="8"/>
        <v>282000</v>
      </c>
      <c r="AU10" s="55"/>
      <c r="AV10" s="53">
        <f t="shared" si="9"/>
        <v>13158000.000000002</v>
      </c>
      <c r="AW10" s="45"/>
      <c r="AX10" s="53">
        <f t="shared" si="1"/>
        <v>1692000</v>
      </c>
      <c r="AY10" s="56">
        <f t="shared" si="2"/>
        <v>13158000.000000002</v>
      </c>
      <c r="AZ10" s="53">
        <f t="shared" si="3"/>
        <v>1692000</v>
      </c>
      <c r="BE10" s="50">
        <v>0.64</v>
      </c>
      <c r="BF10" s="51">
        <f t="shared" si="10"/>
        <v>5500000</v>
      </c>
      <c r="BG10" s="54">
        <f>(BF10*BE10)</f>
        <v>3520000</v>
      </c>
      <c r="BH10" s="50">
        <v>1</v>
      </c>
      <c r="BI10" s="51">
        <f t="shared" si="11"/>
        <v>5500000</v>
      </c>
      <c r="BK10" s="50">
        <v>1</v>
      </c>
      <c r="BL10" s="53">
        <f>($L$10)*BK10</f>
        <v>282000</v>
      </c>
      <c r="BM10" s="54">
        <f>(BL10*BK10)</f>
        <v>282000</v>
      </c>
      <c r="BO10" s="50">
        <v>1</v>
      </c>
      <c r="BP10" s="53">
        <f>($L$10)*BO10</f>
        <v>282000</v>
      </c>
      <c r="BQ10" s="53">
        <f>(BP10*BO10)</f>
        <v>282000</v>
      </c>
      <c r="BY10" s="60"/>
      <c r="BZ10" s="60"/>
      <c r="CE10" s="50">
        <v>1</v>
      </c>
      <c r="CF10" s="53">
        <f>($L$10)*CE10</f>
        <v>282000</v>
      </c>
      <c r="CG10" s="54">
        <f>(CF10*CE10)</f>
        <v>282000</v>
      </c>
      <c r="CP10" s="3">
        <v>6</v>
      </c>
      <c r="CQ10" s="60">
        <f t="shared" si="12"/>
        <v>265833.33333333331</v>
      </c>
      <c r="CR10" s="3">
        <v>6</v>
      </c>
      <c r="CS10" s="60">
        <f t="shared" si="13"/>
        <v>1595000</v>
      </c>
    </row>
    <row r="11" spans="1:97" ht="23.25" customHeight="1" x14ac:dyDescent="0.25">
      <c r="A11" s="64"/>
      <c r="B11" s="138" t="s">
        <v>77</v>
      </c>
      <c r="C11" s="49" t="s">
        <v>78</v>
      </c>
      <c r="D11" s="50">
        <v>18</v>
      </c>
      <c r="E11" s="50">
        <v>2.7</v>
      </c>
      <c r="F11" s="51">
        <v>90000</v>
      </c>
      <c r="G11" s="51">
        <f t="shared" si="4"/>
        <v>4374000.0000000009</v>
      </c>
      <c r="H11" s="51">
        <v>1895400</v>
      </c>
      <c r="I11" s="72">
        <f t="shared" ref="I11:I30" si="25">H11/G11</f>
        <v>0.43333333333333324</v>
      </c>
      <c r="J11" s="52"/>
      <c r="K11" s="50">
        <v>18</v>
      </c>
      <c r="L11" s="51">
        <v>37000</v>
      </c>
      <c r="M11" s="51">
        <f t="shared" si="6"/>
        <v>666000</v>
      </c>
      <c r="N11" s="52"/>
      <c r="O11" s="50">
        <v>18</v>
      </c>
      <c r="P11" s="53">
        <v>37000</v>
      </c>
      <c r="Q11" s="53">
        <f t="shared" si="14"/>
        <v>666000</v>
      </c>
      <c r="R11" s="54"/>
      <c r="S11" s="53">
        <f>$G$11-Q11</f>
        <v>3708000.0000000009</v>
      </c>
      <c r="U11" s="50">
        <v>18</v>
      </c>
      <c r="V11" s="53">
        <v>37000</v>
      </c>
      <c r="W11" s="53">
        <f t="shared" si="15"/>
        <v>666000</v>
      </c>
      <c r="X11" s="54"/>
      <c r="Y11" s="53">
        <f>$S$11-W11</f>
        <v>3042000.0000000009</v>
      </c>
      <c r="AA11" s="50">
        <v>18</v>
      </c>
      <c r="AB11" s="53">
        <v>37000</v>
      </c>
      <c r="AC11" s="53">
        <f t="shared" ref="AC11:AC17" si="26">AB11*AA11</f>
        <v>666000</v>
      </c>
      <c r="AD11" s="54"/>
      <c r="AE11" s="53">
        <f>$Y$11-AC11</f>
        <v>2376000.0000000009</v>
      </c>
      <c r="AF11" s="45"/>
      <c r="AG11" s="50">
        <v>18</v>
      </c>
      <c r="AH11" s="53">
        <v>37000</v>
      </c>
      <c r="AI11" s="53">
        <f t="shared" ref="AI11:AI17" si="27">AH11*AG11</f>
        <v>666000</v>
      </c>
      <c r="AJ11" s="55"/>
      <c r="AK11" s="53">
        <f t="shared" si="7"/>
        <v>1710000.0000000009</v>
      </c>
      <c r="AL11" s="50">
        <v>18</v>
      </c>
      <c r="AM11" s="53">
        <v>37000</v>
      </c>
      <c r="AN11" s="53">
        <f t="shared" ref="AN11:AN17" si="28">AM11*AL11</f>
        <v>666000</v>
      </c>
      <c r="AO11" s="55"/>
      <c r="AP11" s="53">
        <f t="shared" si="0"/>
        <v>1044000.0000000009</v>
      </c>
      <c r="AQ11" s="45"/>
      <c r="AR11" s="50">
        <v>18</v>
      </c>
      <c r="AS11" s="53">
        <v>37000</v>
      </c>
      <c r="AT11" s="53">
        <f t="shared" si="8"/>
        <v>666000</v>
      </c>
      <c r="AU11" s="55"/>
      <c r="AV11" s="53">
        <f t="shared" si="9"/>
        <v>378000.00000000093</v>
      </c>
      <c r="AW11" s="45"/>
      <c r="AX11" s="53">
        <f t="shared" si="1"/>
        <v>3996000</v>
      </c>
      <c r="AY11" s="56">
        <f t="shared" si="2"/>
        <v>378000.00000000093</v>
      </c>
      <c r="AZ11" s="53">
        <f t="shared" si="3"/>
        <v>3996000</v>
      </c>
      <c r="BE11" s="50">
        <v>18</v>
      </c>
      <c r="BF11" s="51">
        <f t="shared" si="10"/>
        <v>90000</v>
      </c>
      <c r="BG11" s="54">
        <f>(BF11*BE11)</f>
        <v>1620000</v>
      </c>
      <c r="BH11" s="50">
        <v>18</v>
      </c>
      <c r="BI11" s="51">
        <f t="shared" si="11"/>
        <v>1620000</v>
      </c>
      <c r="BK11" s="50">
        <v>18</v>
      </c>
      <c r="BL11" s="53">
        <v>37000</v>
      </c>
      <c r="BM11" s="54">
        <f>(BL11*BK11)</f>
        <v>666000</v>
      </c>
      <c r="BO11" s="50">
        <v>18</v>
      </c>
      <c r="BP11" s="53">
        <v>37000</v>
      </c>
      <c r="BQ11" s="53">
        <f>(BP11*BO11)</f>
        <v>666000</v>
      </c>
      <c r="BY11" s="60"/>
      <c r="BZ11" s="60"/>
      <c r="CE11" s="50">
        <v>18</v>
      </c>
      <c r="CF11" s="53">
        <v>37000</v>
      </c>
      <c r="CG11" s="54">
        <f>(CF11*CE11)</f>
        <v>666000</v>
      </c>
      <c r="CP11" s="3">
        <v>7</v>
      </c>
      <c r="CQ11" s="60">
        <f t="shared" si="12"/>
        <v>265833.33333333331</v>
      </c>
      <c r="CR11" s="3">
        <v>6</v>
      </c>
      <c r="CS11" s="60">
        <f t="shared" si="13"/>
        <v>1595000</v>
      </c>
    </row>
    <row r="12" spans="1:97" ht="20.100000000000001" customHeight="1" x14ac:dyDescent="0.25">
      <c r="A12" s="64"/>
      <c r="B12" s="138"/>
      <c r="C12" s="49" t="s">
        <v>79</v>
      </c>
      <c r="D12" s="50">
        <v>1</v>
      </c>
      <c r="E12" s="50">
        <v>2.7</v>
      </c>
      <c r="F12" s="51">
        <v>4900000</v>
      </c>
      <c r="G12" s="51">
        <f t="shared" si="4"/>
        <v>13230000</v>
      </c>
      <c r="H12" s="51">
        <v>5733000</v>
      </c>
      <c r="I12" s="72">
        <f t="shared" si="25"/>
        <v>0.43333333333333335</v>
      </c>
      <c r="J12" s="52"/>
      <c r="K12" s="50">
        <v>1</v>
      </c>
      <c r="L12" s="51">
        <v>460000</v>
      </c>
      <c r="M12" s="51">
        <f t="shared" si="6"/>
        <v>460000</v>
      </c>
      <c r="N12" s="52"/>
      <c r="O12" s="50">
        <v>1</v>
      </c>
      <c r="P12" s="53">
        <f>($L$12)*O12</f>
        <v>460000</v>
      </c>
      <c r="Q12" s="53">
        <f t="shared" si="14"/>
        <v>460000</v>
      </c>
      <c r="R12" s="54"/>
      <c r="S12" s="53">
        <f>$G$12-Q12</f>
        <v>12770000</v>
      </c>
      <c r="U12" s="50">
        <v>1</v>
      </c>
      <c r="V12" s="53">
        <f>($L$12)*U12</f>
        <v>460000</v>
      </c>
      <c r="W12" s="53">
        <f t="shared" si="15"/>
        <v>460000</v>
      </c>
      <c r="X12" s="54"/>
      <c r="Y12" s="53">
        <f>$S$12-W12</f>
        <v>12310000</v>
      </c>
      <c r="AA12" s="50">
        <v>1</v>
      </c>
      <c r="AB12" s="53">
        <v>460000</v>
      </c>
      <c r="AC12" s="53">
        <f t="shared" si="26"/>
        <v>460000</v>
      </c>
      <c r="AD12" s="54"/>
      <c r="AE12" s="53">
        <f>$Y$12-AC12</f>
        <v>11850000</v>
      </c>
      <c r="AF12" s="45"/>
      <c r="AG12" s="50">
        <v>1</v>
      </c>
      <c r="AH12" s="53">
        <f>($L$12)*AG12</f>
        <v>460000</v>
      </c>
      <c r="AI12" s="53">
        <f t="shared" si="27"/>
        <v>460000</v>
      </c>
      <c r="AJ12" s="55"/>
      <c r="AK12" s="53">
        <f t="shared" si="7"/>
        <v>11390000</v>
      </c>
      <c r="AL12" s="50">
        <v>1</v>
      </c>
      <c r="AM12" s="53">
        <f>($L$12)*AL12</f>
        <v>460000</v>
      </c>
      <c r="AN12" s="53">
        <f t="shared" si="28"/>
        <v>460000</v>
      </c>
      <c r="AO12" s="55"/>
      <c r="AP12" s="53">
        <f t="shared" si="0"/>
        <v>10930000</v>
      </c>
      <c r="AQ12" s="45"/>
      <c r="AR12" s="50">
        <v>1</v>
      </c>
      <c r="AS12" s="53">
        <f>($L$12)*AR12</f>
        <v>460000</v>
      </c>
      <c r="AT12" s="53">
        <f t="shared" si="8"/>
        <v>460000</v>
      </c>
      <c r="AU12" s="55"/>
      <c r="AV12" s="53">
        <f t="shared" si="9"/>
        <v>10470000</v>
      </c>
      <c r="AW12" s="45"/>
      <c r="AX12" s="53">
        <f t="shared" si="1"/>
        <v>2760000</v>
      </c>
      <c r="AY12" s="56">
        <f t="shared" si="2"/>
        <v>10470000</v>
      </c>
      <c r="AZ12" s="53">
        <f t="shared" si="3"/>
        <v>2760000</v>
      </c>
      <c r="BE12" s="50">
        <v>1</v>
      </c>
      <c r="BF12" s="51">
        <f t="shared" si="10"/>
        <v>4900000</v>
      </c>
      <c r="BG12" s="54">
        <f>(BF12*BE12)</f>
        <v>4900000</v>
      </c>
      <c r="BH12" s="50">
        <v>1</v>
      </c>
      <c r="BI12" s="51">
        <f t="shared" si="11"/>
        <v>4900000</v>
      </c>
      <c r="BK12" s="50">
        <v>1</v>
      </c>
      <c r="BL12" s="53">
        <f>($L$12)*BK12</f>
        <v>460000</v>
      </c>
      <c r="BM12" s="54">
        <f>(BL12*BK12)</f>
        <v>460000</v>
      </c>
      <c r="BO12" s="50">
        <v>1</v>
      </c>
      <c r="BP12" s="53">
        <f>($L$12)*BO12</f>
        <v>460000</v>
      </c>
      <c r="BQ12" s="53">
        <f>(BP12*BO12)</f>
        <v>460000</v>
      </c>
      <c r="BY12" s="60"/>
      <c r="BZ12" s="60"/>
      <c r="CE12" s="50">
        <v>0</v>
      </c>
      <c r="CF12" s="53">
        <f>($L$12)*CE12</f>
        <v>0</v>
      </c>
      <c r="CG12" s="54">
        <f>(CF12*CE12)</f>
        <v>0</v>
      </c>
      <c r="CP12" s="3">
        <v>8</v>
      </c>
      <c r="CQ12" s="60">
        <f t="shared" si="12"/>
        <v>265833.33333333331</v>
      </c>
      <c r="CR12" s="3">
        <v>6</v>
      </c>
      <c r="CS12" s="60">
        <f t="shared" si="13"/>
        <v>1595000</v>
      </c>
    </row>
    <row r="13" spans="1:97" ht="20.100000000000001" customHeight="1" x14ac:dyDescent="0.25">
      <c r="A13" s="64"/>
      <c r="B13" s="138"/>
      <c r="C13" s="49" t="s">
        <v>80</v>
      </c>
      <c r="D13" s="50">
        <v>1</v>
      </c>
      <c r="E13" s="50">
        <v>2.7</v>
      </c>
      <c r="F13" s="51">
        <v>4600000</v>
      </c>
      <c r="G13" s="51">
        <f t="shared" si="4"/>
        <v>12420000</v>
      </c>
      <c r="H13" s="51">
        <v>5382000</v>
      </c>
      <c r="I13" s="72">
        <f t="shared" si="25"/>
        <v>0.43333333333333335</v>
      </c>
      <c r="J13" s="52"/>
      <c r="K13" s="50">
        <v>1</v>
      </c>
      <c r="L13" s="51">
        <v>4363000</v>
      </c>
      <c r="M13" s="51">
        <f t="shared" si="6"/>
        <v>4363000</v>
      </c>
      <c r="N13" s="52"/>
      <c r="O13" s="50">
        <v>25</v>
      </c>
      <c r="P13" s="53">
        <f>L13</f>
        <v>4363000</v>
      </c>
      <c r="Q13" s="53">
        <v>3635800</v>
      </c>
      <c r="R13" s="54"/>
      <c r="S13" s="53">
        <f>$G$13-Q13</f>
        <v>8784200</v>
      </c>
      <c r="U13" s="50">
        <v>1</v>
      </c>
      <c r="V13" s="53">
        <f>$L$13</f>
        <v>4363000</v>
      </c>
      <c r="W13" s="53">
        <f t="shared" si="15"/>
        <v>4363000</v>
      </c>
      <c r="X13" s="54"/>
      <c r="Y13" s="53">
        <f>$S$13-W13</f>
        <v>4421200</v>
      </c>
      <c r="AA13" s="50">
        <v>1</v>
      </c>
      <c r="AB13" s="53">
        <v>4363000</v>
      </c>
      <c r="AC13" s="53">
        <f t="shared" si="26"/>
        <v>4363000</v>
      </c>
      <c r="AD13" s="54"/>
      <c r="AE13" s="53">
        <f>$Y$13-AC13</f>
        <v>58200</v>
      </c>
      <c r="AF13" s="45"/>
      <c r="AG13" s="50">
        <v>1</v>
      </c>
      <c r="AH13" s="53">
        <f>$L$13</f>
        <v>4363000</v>
      </c>
      <c r="AI13" s="53">
        <f t="shared" si="27"/>
        <v>4363000</v>
      </c>
      <c r="AJ13" s="55"/>
      <c r="AK13" s="53">
        <f t="shared" si="7"/>
        <v>-4304800</v>
      </c>
      <c r="AL13" s="50">
        <v>1</v>
      </c>
      <c r="AM13" s="53">
        <f>$L$13</f>
        <v>4363000</v>
      </c>
      <c r="AN13" s="53">
        <f t="shared" si="28"/>
        <v>4363000</v>
      </c>
      <c r="AO13" s="55"/>
      <c r="AP13" s="53">
        <f t="shared" si="0"/>
        <v>-8667800</v>
      </c>
      <c r="AQ13" s="45"/>
      <c r="AR13" s="50">
        <v>1</v>
      </c>
      <c r="AS13" s="53">
        <f>$L$13</f>
        <v>4363000</v>
      </c>
      <c r="AT13" s="53">
        <f t="shared" si="8"/>
        <v>4363000</v>
      </c>
      <c r="AU13" s="55"/>
      <c r="AV13" s="53">
        <f t="shared" si="9"/>
        <v>-13030800</v>
      </c>
      <c r="AW13" s="45"/>
      <c r="AX13" s="53">
        <f t="shared" si="1"/>
        <v>25450800</v>
      </c>
      <c r="AY13" s="56">
        <f t="shared" si="2"/>
        <v>-13030800</v>
      </c>
      <c r="AZ13" s="53">
        <f t="shared" si="3"/>
        <v>25450800</v>
      </c>
      <c r="BE13" s="50">
        <v>1</v>
      </c>
      <c r="BF13" s="51">
        <f t="shared" si="10"/>
        <v>4600000</v>
      </c>
      <c r="BG13" s="54">
        <f>(BF13*BE13)</f>
        <v>4600000</v>
      </c>
      <c r="BH13" s="50">
        <v>1</v>
      </c>
      <c r="BI13" s="51">
        <f t="shared" si="11"/>
        <v>4600000</v>
      </c>
      <c r="BK13" s="50">
        <v>1</v>
      </c>
      <c r="BL13" s="53">
        <f>$L$13</f>
        <v>4363000</v>
      </c>
      <c r="BM13" s="54">
        <f>(BL13*BK13)</f>
        <v>4363000</v>
      </c>
      <c r="BO13" s="50">
        <v>1</v>
      </c>
      <c r="BP13" s="53">
        <f>$L$13</f>
        <v>4363000</v>
      </c>
      <c r="BQ13" s="54">
        <f>(BP13*BO13)</f>
        <v>4363000</v>
      </c>
      <c r="BY13" s="60"/>
      <c r="BZ13" s="60"/>
      <c r="CE13" s="50">
        <v>1</v>
      </c>
      <c r="CF13" s="53">
        <f>$L$13</f>
        <v>4363000</v>
      </c>
      <c r="CG13" s="54">
        <f>(CF13*CE13)</f>
        <v>4363000</v>
      </c>
      <c r="CP13" s="3">
        <v>9</v>
      </c>
      <c r="CQ13" s="60">
        <f t="shared" si="12"/>
        <v>265833.33333333331</v>
      </c>
      <c r="CR13" s="3">
        <v>6</v>
      </c>
      <c r="CS13" s="60">
        <f t="shared" si="13"/>
        <v>1595000</v>
      </c>
    </row>
    <row r="14" spans="1:97" ht="20.100000000000001" customHeight="1" x14ac:dyDescent="0.25">
      <c r="A14" s="64"/>
      <c r="B14" s="138"/>
      <c r="C14" s="49" t="s">
        <v>81</v>
      </c>
      <c r="D14" s="50">
        <v>1</v>
      </c>
      <c r="E14" s="50">
        <v>2.7</v>
      </c>
      <c r="F14" s="51">
        <v>215</v>
      </c>
      <c r="G14" s="51">
        <f t="shared" si="4"/>
        <v>580.5</v>
      </c>
      <c r="H14" s="51">
        <v>0</v>
      </c>
      <c r="I14" s="72">
        <f t="shared" si="25"/>
        <v>0</v>
      </c>
      <c r="J14" s="52"/>
      <c r="K14" s="50">
        <v>1</v>
      </c>
      <c r="L14" s="51">
        <v>220</v>
      </c>
      <c r="M14" s="51">
        <f t="shared" si="6"/>
        <v>220</v>
      </c>
      <c r="N14" s="52"/>
      <c r="O14" s="50">
        <v>0</v>
      </c>
      <c r="P14" s="53">
        <f>(L14)*O14</f>
        <v>0</v>
      </c>
      <c r="Q14" s="53">
        <f t="shared" si="14"/>
        <v>0</v>
      </c>
      <c r="R14" s="54"/>
      <c r="S14" s="53">
        <f>$G$14-Q14</f>
        <v>580.5</v>
      </c>
      <c r="U14" s="50">
        <v>0</v>
      </c>
      <c r="V14" s="53">
        <f>(R14)*U14</f>
        <v>0</v>
      </c>
      <c r="W14" s="53">
        <f t="shared" si="15"/>
        <v>0</v>
      </c>
      <c r="X14" s="54"/>
      <c r="Y14" s="53">
        <f>$S$14-W14</f>
        <v>580.5</v>
      </c>
      <c r="AA14" s="50">
        <v>0</v>
      </c>
      <c r="AB14" s="53">
        <v>0</v>
      </c>
      <c r="AC14" s="53">
        <f t="shared" si="26"/>
        <v>0</v>
      </c>
      <c r="AD14" s="54"/>
      <c r="AE14" s="53">
        <f>$Y$14-AC14</f>
        <v>580.5</v>
      </c>
      <c r="AF14" s="45"/>
      <c r="AG14" s="50">
        <v>0</v>
      </c>
      <c r="AH14" s="53">
        <f>(AD14)*AG14</f>
        <v>0</v>
      </c>
      <c r="AI14" s="53">
        <f t="shared" si="27"/>
        <v>0</v>
      </c>
      <c r="AJ14" s="55"/>
      <c r="AK14" s="53">
        <f t="shared" si="7"/>
        <v>580.5</v>
      </c>
      <c r="AL14" s="50">
        <v>0</v>
      </c>
      <c r="AM14" s="53">
        <f>(AJ14)*AL14</f>
        <v>0</v>
      </c>
      <c r="AN14" s="53">
        <f t="shared" si="28"/>
        <v>0</v>
      </c>
      <c r="AO14" s="55"/>
      <c r="AP14" s="53">
        <f t="shared" si="0"/>
        <v>580.5</v>
      </c>
      <c r="AQ14" s="45"/>
      <c r="AR14" s="50">
        <v>0</v>
      </c>
      <c r="AS14" s="53">
        <f>(AO14)*AR14</f>
        <v>0</v>
      </c>
      <c r="AT14" s="53">
        <f t="shared" si="8"/>
        <v>0</v>
      </c>
      <c r="AU14" s="55"/>
      <c r="AV14" s="53">
        <f t="shared" si="9"/>
        <v>580.5</v>
      </c>
      <c r="AW14" s="45"/>
      <c r="AX14" s="53">
        <f t="shared" si="1"/>
        <v>0</v>
      </c>
      <c r="AY14" s="53">
        <f t="shared" si="2"/>
        <v>580.5</v>
      </c>
      <c r="AZ14" s="53">
        <f t="shared" si="3"/>
        <v>0</v>
      </c>
      <c r="BE14" s="50">
        <v>0</v>
      </c>
      <c r="BF14" s="51">
        <f t="shared" si="10"/>
        <v>215</v>
      </c>
      <c r="BG14" s="54">
        <f>BF14*BE14</f>
        <v>0</v>
      </c>
      <c r="BH14" s="50">
        <v>0</v>
      </c>
      <c r="BI14" s="51">
        <f t="shared" si="11"/>
        <v>0</v>
      </c>
      <c r="BK14" s="50">
        <v>0</v>
      </c>
      <c r="BL14" s="53">
        <f>(BF14)*BK14</f>
        <v>0</v>
      </c>
      <c r="BM14" s="54">
        <f t="shared" ref="BM14:BM16" si="29">BL14*BK14</f>
        <v>0</v>
      </c>
      <c r="BO14" s="50">
        <v>0</v>
      </c>
      <c r="BP14" s="53">
        <f>(BL14)*BO14</f>
        <v>0</v>
      </c>
      <c r="BQ14" s="54">
        <f t="shared" ref="BQ14:BQ16" si="30">BP14*BO14</f>
        <v>0</v>
      </c>
      <c r="BY14" s="60"/>
      <c r="BZ14" s="60"/>
      <c r="CE14" s="50">
        <v>0</v>
      </c>
      <c r="CF14" s="53">
        <f>(BR14)*CE14</f>
        <v>0</v>
      </c>
      <c r="CG14" s="54">
        <f t="shared" ref="CG14:CG16" si="31">CF14*CE14</f>
        <v>0</v>
      </c>
      <c r="CP14" s="3">
        <v>10</v>
      </c>
      <c r="CQ14" s="60">
        <f t="shared" si="12"/>
        <v>265833.33333333331</v>
      </c>
      <c r="CR14" s="3">
        <v>6</v>
      </c>
      <c r="CS14" s="60">
        <f t="shared" si="13"/>
        <v>1595000</v>
      </c>
    </row>
    <row r="15" spans="1:97" ht="20.100000000000001" customHeight="1" x14ac:dyDescent="0.25">
      <c r="A15" s="64"/>
      <c r="B15" s="138"/>
      <c r="C15" s="49" t="s">
        <v>82</v>
      </c>
      <c r="D15" s="50">
        <v>1</v>
      </c>
      <c r="E15" s="50">
        <v>2.7</v>
      </c>
      <c r="F15" s="51">
        <v>166</v>
      </c>
      <c r="G15" s="51">
        <f t="shared" si="4"/>
        <v>448.20000000000005</v>
      </c>
      <c r="H15" s="51">
        <v>78352</v>
      </c>
      <c r="I15" s="72">
        <f t="shared" si="25"/>
        <v>174.81481481481481</v>
      </c>
      <c r="J15" s="52"/>
      <c r="K15" s="50">
        <v>1</v>
      </c>
      <c r="L15" s="51">
        <v>0</v>
      </c>
      <c r="M15" s="51">
        <f t="shared" si="6"/>
        <v>0</v>
      </c>
      <c r="N15" s="52"/>
      <c r="O15" s="50">
        <v>0</v>
      </c>
      <c r="P15" s="53">
        <f>(L15)*O15</f>
        <v>0</v>
      </c>
      <c r="Q15" s="53">
        <f t="shared" si="14"/>
        <v>0</v>
      </c>
      <c r="R15" s="54"/>
      <c r="S15" s="53">
        <f>G15-Q15</f>
        <v>448.20000000000005</v>
      </c>
      <c r="U15" s="50">
        <v>0</v>
      </c>
      <c r="V15" s="53">
        <f>(R15)*U15</f>
        <v>0</v>
      </c>
      <c r="W15" s="53">
        <f t="shared" si="15"/>
        <v>0</v>
      </c>
      <c r="X15" s="54"/>
      <c r="Y15" s="53">
        <f>O15-W15</f>
        <v>0</v>
      </c>
      <c r="AA15" s="50">
        <v>0</v>
      </c>
      <c r="AB15" s="53">
        <v>0</v>
      </c>
      <c r="AC15" s="53">
        <f t="shared" si="26"/>
        <v>0</v>
      </c>
      <c r="AD15" s="54"/>
      <c r="AE15" s="53">
        <f>U15-AC15</f>
        <v>0</v>
      </c>
      <c r="AF15" s="45"/>
      <c r="AG15" s="50">
        <v>0</v>
      </c>
      <c r="AH15" s="53">
        <f>(AD15)*AG15</f>
        <v>0</v>
      </c>
      <c r="AI15" s="53">
        <f t="shared" si="27"/>
        <v>0</v>
      </c>
      <c r="AJ15" s="55"/>
      <c r="AK15" s="53">
        <f t="shared" si="7"/>
        <v>0</v>
      </c>
      <c r="AL15" s="50">
        <v>0</v>
      </c>
      <c r="AM15" s="53">
        <f>(AJ15)*AL15</f>
        <v>0</v>
      </c>
      <c r="AN15" s="53">
        <f t="shared" si="28"/>
        <v>0</v>
      </c>
      <c r="AO15" s="55"/>
      <c r="AP15" s="53">
        <f t="shared" si="0"/>
        <v>0</v>
      </c>
      <c r="AQ15" s="45"/>
      <c r="AR15" s="50">
        <v>0</v>
      </c>
      <c r="AS15" s="53">
        <f>(AO15)*AR15</f>
        <v>0</v>
      </c>
      <c r="AT15" s="53">
        <f t="shared" si="8"/>
        <v>0</v>
      </c>
      <c r="AU15" s="55"/>
      <c r="AV15" s="53">
        <f t="shared" si="9"/>
        <v>0</v>
      </c>
      <c r="AW15" s="45"/>
      <c r="AX15" s="53">
        <f t="shared" si="1"/>
        <v>0</v>
      </c>
      <c r="AY15" s="53">
        <f t="shared" si="2"/>
        <v>448.20000000000005</v>
      </c>
      <c r="AZ15" s="53">
        <f t="shared" si="3"/>
        <v>0</v>
      </c>
      <c r="BE15" s="50">
        <v>472</v>
      </c>
      <c r="BF15" s="51">
        <f t="shared" si="10"/>
        <v>166</v>
      </c>
      <c r="BG15" s="54">
        <f>BF15*BE15</f>
        <v>78352</v>
      </c>
      <c r="BH15" s="50">
        <v>600</v>
      </c>
      <c r="BI15" s="51">
        <f t="shared" si="11"/>
        <v>99600</v>
      </c>
      <c r="BK15" s="50">
        <v>0</v>
      </c>
      <c r="BL15" s="53">
        <f>(BF15)*BK15</f>
        <v>0</v>
      </c>
      <c r="BM15" s="54">
        <f t="shared" si="29"/>
        <v>0</v>
      </c>
      <c r="BO15" s="50">
        <v>0</v>
      </c>
      <c r="BP15" s="53">
        <f>(BL15)*BO15</f>
        <v>0</v>
      </c>
      <c r="BQ15" s="54">
        <f t="shared" si="30"/>
        <v>0</v>
      </c>
      <c r="BY15" s="60"/>
      <c r="BZ15" s="60"/>
      <c r="CE15" s="50">
        <v>0</v>
      </c>
      <c r="CF15" s="53">
        <f>(BR15)*CE15</f>
        <v>0</v>
      </c>
      <c r="CG15" s="54">
        <f t="shared" si="31"/>
        <v>0</v>
      </c>
      <c r="CP15" s="3">
        <v>11</v>
      </c>
      <c r="CQ15" s="60">
        <f t="shared" si="12"/>
        <v>265833.33333333331</v>
      </c>
      <c r="CR15" s="3">
        <v>6</v>
      </c>
      <c r="CS15" s="60">
        <f t="shared" si="13"/>
        <v>1595000</v>
      </c>
    </row>
    <row r="16" spans="1:97" ht="20.100000000000001" customHeight="1" x14ac:dyDescent="0.25">
      <c r="A16" s="64"/>
      <c r="B16" s="138"/>
      <c r="C16" s="49" t="s">
        <v>83</v>
      </c>
      <c r="D16" s="50">
        <v>1</v>
      </c>
      <c r="E16" s="50">
        <v>2.7</v>
      </c>
      <c r="F16" s="51">
        <v>45</v>
      </c>
      <c r="G16" s="51">
        <f t="shared" si="4"/>
        <v>121.50000000000001</v>
      </c>
      <c r="H16" s="51">
        <v>0</v>
      </c>
      <c r="I16" s="72">
        <f t="shared" si="25"/>
        <v>0</v>
      </c>
      <c r="J16" s="52"/>
      <c r="K16" s="50">
        <v>1</v>
      </c>
      <c r="L16" s="51">
        <v>0</v>
      </c>
      <c r="M16" s="51">
        <f t="shared" si="6"/>
        <v>0</v>
      </c>
      <c r="N16" s="52"/>
      <c r="O16" s="50">
        <v>0</v>
      </c>
      <c r="P16" s="53">
        <f>(L16)*O16</f>
        <v>0</v>
      </c>
      <c r="Q16" s="53">
        <f t="shared" si="14"/>
        <v>0</v>
      </c>
      <c r="R16" s="54"/>
      <c r="S16" s="53">
        <f>G16-Q16</f>
        <v>121.50000000000001</v>
      </c>
      <c r="U16" s="50">
        <v>0</v>
      </c>
      <c r="V16" s="53">
        <f>(R16)*U16</f>
        <v>0</v>
      </c>
      <c r="W16" s="53">
        <f t="shared" si="15"/>
        <v>0</v>
      </c>
      <c r="X16" s="54"/>
      <c r="Y16" s="53">
        <f>O16-W16</f>
        <v>0</v>
      </c>
      <c r="AA16" s="50">
        <v>0</v>
      </c>
      <c r="AB16" s="53">
        <v>0</v>
      </c>
      <c r="AC16" s="53">
        <f t="shared" si="26"/>
        <v>0</v>
      </c>
      <c r="AD16" s="54"/>
      <c r="AE16" s="53">
        <f>U16-AC16</f>
        <v>0</v>
      </c>
      <c r="AF16" s="45"/>
      <c r="AG16" s="50">
        <v>0</v>
      </c>
      <c r="AH16" s="53">
        <f>(AD16)*AG16</f>
        <v>0</v>
      </c>
      <c r="AI16" s="53">
        <f t="shared" si="27"/>
        <v>0</v>
      </c>
      <c r="AJ16" s="55"/>
      <c r="AK16" s="53">
        <f t="shared" si="7"/>
        <v>0</v>
      </c>
      <c r="AL16" s="50">
        <v>0</v>
      </c>
      <c r="AM16" s="53">
        <f>(AJ16)*AL16</f>
        <v>0</v>
      </c>
      <c r="AN16" s="53">
        <f t="shared" si="28"/>
        <v>0</v>
      </c>
      <c r="AO16" s="55"/>
      <c r="AP16" s="53">
        <f t="shared" si="0"/>
        <v>0</v>
      </c>
      <c r="AQ16" s="45"/>
      <c r="AR16" s="50">
        <v>0</v>
      </c>
      <c r="AS16" s="53">
        <f>(AO16)*AR16</f>
        <v>0</v>
      </c>
      <c r="AT16" s="53">
        <f t="shared" si="8"/>
        <v>0</v>
      </c>
      <c r="AU16" s="55"/>
      <c r="AV16" s="53">
        <f t="shared" si="9"/>
        <v>0</v>
      </c>
      <c r="AW16" s="45"/>
      <c r="AX16" s="53">
        <f t="shared" si="1"/>
        <v>0</v>
      </c>
      <c r="AY16" s="53">
        <f t="shared" si="2"/>
        <v>121.50000000000001</v>
      </c>
      <c r="AZ16" s="53">
        <f t="shared" si="3"/>
        <v>0</v>
      </c>
      <c r="BE16" s="50">
        <v>0</v>
      </c>
      <c r="BF16" s="51">
        <f t="shared" si="10"/>
        <v>45</v>
      </c>
      <c r="BG16" s="54">
        <f>BF16*BE16</f>
        <v>0</v>
      </c>
      <c r="BH16" s="50">
        <v>0</v>
      </c>
      <c r="BI16" s="51">
        <f t="shared" si="11"/>
        <v>0</v>
      </c>
      <c r="BK16" s="50">
        <v>0</v>
      </c>
      <c r="BL16" s="53">
        <f>(BF16)*BK16</f>
        <v>0</v>
      </c>
      <c r="BM16" s="54">
        <f t="shared" si="29"/>
        <v>0</v>
      </c>
      <c r="BO16" s="50">
        <v>0</v>
      </c>
      <c r="BP16" s="53">
        <f>(BL16)*BO16</f>
        <v>0</v>
      </c>
      <c r="BQ16" s="54">
        <f t="shared" si="30"/>
        <v>0</v>
      </c>
      <c r="BY16" s="60"/>
      <c r="BZ16" s="60"/>
      <c r="CE16" s="50">
        <v>0</v>
      </c>
      <c r="CF16" s="53">
        <f>(BR16)*CE16</f>
        <v>0</v>
      </c>
      <c r="CG16" s="54">
        <f t="shared" si="31"/>
        <v>0</v>
      </c>
      <c r="CP16" s="3">
        <v>12</v>
      </c>
      <c r="CQ16" s="60">
        <f t="shared" si="12"/>
        <v>265833.33333333331</v>
      </c>
      <c r="CR16" s="3">
        <v>6</v>
      </c>
      <c r="CS16" s="60">
        <f t="shared" si="13"/>
        <v>1595000</v>
      </c>
    </row>
    <row r="17" spans="1:97" ht="20.100000000000001" customHeight="1" x14ac:dyDescent="0.25">
      <c r="A17" s="64"/>
      <c r="B17" s="138"/>
      <c r="C17" s="49" t="s">
        <v>84</v>
      </c>
      <c r="D17" s="50">
        <v>1</v>
      </c>
      <c r="E17" s="50">
        <v>2.7</v>
      </c>
      <c r="F17" s="51">
        <v>90000</v>
      </c>
      <c r="G17" s="51">
        <f t="shared" si="4"/>
        <v>243000.00000000003</v>
      </c>
      <c r="H17" s="51">
        <v>0</v>
      </c>
      <c r="I17" s="72">
        <f t="shared" si="25"/>
        <v>0</v>
      </c>
      <c r="J17" s="52"/>
      <c r="K17" s="50">
        <v>1</v>
      </c>
      <c r="L17" s="51">
        <v>80000</v>
      </c>
      <c r="M17" s="51">
        <f t="shared" si="6"/>
        <v>80000</v>
      </c>
      <c r="N17" s="52"/>
      <c r="O17" s="50">
        <v>1</v>
      </c>
      <c r="P17" s="53">
        <f>$L$17</f>
        <v>80000</v>
      </c>
      <c r="Q17" s="53">
        <f t="shared" si="14"/>
        <v>80000</v>
      </c>
      <c r="R17" s="54"/>
      <c r="S17" s="53">
        <f>$G$17-Q17</f>
        <v>163000.00000000003</v>
      </c>
      <c r="U17" s="50">
        <v>1</v>
      </c>
      <c r="V17" s="53">
        <f>$L$17</f>
        <v>80000</v>
      </c>
      <c r="W17" s="53">
        <f t="shared" si="15"/>
        <v>80000</v>
      </c>
      <c r="X17" s="54"/>
      <c r="Y17" s="53">
        <f>$S$17-W17</f>
        <v>83000.000000000029</v>
      </c>
      <c r="AA17" s="50">
        <v>1</v>
      </c>
      <c r="AB17" s="53">
        <v>80000</v>
      </c>
      <c r="AC17" s="53">
        <f t="shared" si="26"/>
        <v>80000</v>
      </c>
      <c r="AD17" s="54"/>
      <c r="AE17" s="53">
        <f>$Y$17-AC17</f>
        <v>3000.0000000000291</v>
      </c>
      <c r="AF17" s="45"/>
      <c r="AG17" s="50">
        <v>1</v>
      </c>
      <c r="AH17" s="53">
        <f>$L$17</f>
        <v>80000</v>
      </c>
      <c r="AI17" s="53">
        <f t="shared" si="27"/>
        <v>80000</v>
      </c>
      <c r="AJ17" s="55"/>
      <c r="AK17" s="53">
        <f t="shared" si="7"/>
        <v>-76999.999999999971</v>
      </c>
      <c r="AL17" s="50">
        <v>1</v>
      </c>
      <c r="AM17" s="53">
        <f>$L$17</f>
        <v>80000</v>
      </c>
      <c r="AN17" s="53">
        <f t="shared" si="28"/>
        <v>80000</v>
      </c>
      <c r="AO17" s="55"/>
      <c r="AP17" s="53">
        <f t="shared" si="0"/>
        <v>-156999.99999999997</v>
      </c>
      <c r="AQ17" s="45"/>
      <c r="AR17" s="50">
        <v>1</v>
      </c>
      <c r="AS17" s="53">
        <f>$L$17</f>
        <v>80000</v>
      </c>
      <c r="AT17" s="53">
        <f t="shared" si="8"/>
        <v>80000</v>
      </c>
      <c r="AU17" s="55"/>
      <c r="AV17" s="53">
        <f t="shared" si="9"/>
        <v>-236999.99999999997</v>
      </c>
      <c r="AW17" s="45"/>
      <c r="AX17" s="53">
        <f t="shared" si="1"/>
        <v>480000</v>
      </c>
      <c r="AY17" s="56">
        <f t="shared" si="2"/>
        <v>-236999.99999999997</v>
      </c>
      <c r="AZ17" s="53">
        <f t="shared" si="3"/>
        <v>480000</v>
      </c>
      <c r="BE17" s="50">
        <v>0</v>
      </c>
      <c r="BF17" s="51">
        <f t="shared" si="10"/>
        <v>90000</v>
      </c>
      <c r="BG17" s="54">
        <f>(BF17*BE17)</f>
        <v>0</v>
      </c>
      <c r="BH17" s="50">
        <v>0</v>
      </c>
      <c r="BI17" s="51">
        <f t="shared" si="11"/>
        <v>0</v>
      </c>
      <c r="BK17" s="50">
        <v>1</v>
      </c>
      <c r="BL17" s="53">
        <f>$L$17</f>
        <v>80000</v>
      </c>
      <c r="BM17" s="54">
        <f>(BL17*BK17)</f>
        <v>80000</v>
      </c>
      <c r="BO17" s="50">
        <v>1</v>
      </c>
      <c r="BP17" s="53">
        <f>$L$17</f>
        <v>80000</v>
      </c>
      <c r="BQ17" s="54">
        <f>(BP17*BO17)</f>
        <v>80000</v>
      </c>
      <c r="BY17" s="60"/>
      <c r="BZ17" s="60"/>
      <c r="CE17" s="50">
        <v>1</v>
      </c>
      <c r="CF17" s="53">
        <f>$L$17</f>
        <v>80000</v>
      </c>
      <c r="CG17" s="54">
        <f>(CF17*CE17)</f>
        <v>80000</v>
      </c>
      <c r="CP17" s="3">
        <v>13</v>
      </c>
      <c r="CQ17" s="60">
        <f t="shared" si="12"/>
        <v>265833.33333333331</v>
      </c>
      <c r="CR17" s="3">
        <v>6</v>
      </c>
      <c r="CS17" s="60">
        <f t="shared" si="13"/>
        <v>1595000</v>
      </c>
    </row>
    <row r="18" spans="1:97" ht="20.100000000000001" customHeight="1" x14ac:dyDescent="0.25">
      <c r="A18" s="64"/>
      <c r="B18" s="139" t="s">
        <v>85</v>
      </c>
      <c r="C18" s="49" t="s">
        <v>86</v>
      </c>
      <c r="D18" s="50">
        <v>5000</v>
      </c>
      <c r="E18" s="50">
        <v>2.7</v>
      </c>
      <c r="F18" s="51">
        <v>600</v>
      </c>
      <c r="G18" s="51">
        <f t="shared" si="4"/>
        <v>8100000</v>
      </c>
      <c r="H18" s="51">
        <v>0</v>
      </c>
      <c r="I18" s="72">
        <f t="shared" si="25"/>
        <v>0</v>
      </c>
      <c r="J18" s="52"/>
      <c r="K18" s="50">
        <v>1</v>
      </c>
      <c r="L18" s="51">
        <v>228</v>
      </c>
      <c r="M18" s="51">
        <f t="shared" si="6"/>
        <v>228</v>
      </c>
      <c r="N18" s="52"/>
      <c r="O18" s="50">
        <v>0</v>
      </c>
      <c r="P18" s="51">
        <v>0</v>
      </c>
      <c r="Q18" s="53">
        <f t="shared" si="14"/>
        <v>0</v>
      </c>
      <c r="R18" s="54"/>
      <c r="S18" s="53">
        <f>$G$18-Q18</f>
        <v>8100000</v>
      </c>
      <c r="U18" s="50">
        <v>15</v>
      </c>
      <c r="V18" s="51">
        <f>R18</f>
        <v>0</v>
      </c>
      <c r="W18" s="53">
        <f t="shared" si="15"/>
        <v>0</v>
      </c>
      <c r="X18" s="54"/>
      <c r="Y18" s="53">
        <f>$S$18-W18</f>
        <v>8100000</v>
      </c>
      <c r="AA18" s="50">
        <v>0</v>
      </c>
      <c r="AB18" s="51">
        <v>0</v>
      </c>
      <c r="AC18" s="53">
        <f t="shared" ref="AC18:AC21" si="32">AB18*AA18</f>
        <v>0</v>
      </c>
      <c r="AD18" s="54"/>
      <c r="AE18" s="53">
        <f>$Y$18-AC18</f>
        <v>8100000</v>
      </c>
      <c r="AF18" s="45"/>
      <c r="AG18" s="50">
        <v>0</v>
      </c>
      <c r="AH18" s="51">
        <f>AD18</f>
        <v>0</v>
      </c>
      <c r="AI18" s="53">
        <f t="shared" ref="AI18:AI21" si="33">AH18*AG18</f>
        <v>0</v>
      </c>
      <c r="AJ18" s="55"/>
      <c r="AK18" s="53">
        <f t="shared" si="7"/>
        <v>8100000</v>
      </c>
      <c r="AL18" s="50">
        <v>0</v>
      </c>
      <c r="AM18" s="51">
        <f>AJ18</f>
        <v>0</v>
      </c>
      <c r="AN18" s="53">
        <f t="shared" ref="AN18:AN21" si="34">AM18*AL18</f>
        <v>0</v>
      </c>
      <c r="AO18" s="55"/>
      <c r="AP18" s="53">
        <f t="shared" si="0"/>
        <v>8100000</v>
      </c>
      <c r="AQ18" s="45"/>
      <c r="AR18" s="50">
        <v>0</v>
      </c>
      <c r="AS18" s="51">
        <f>AO18</f>
        <v>0</v>
      </c>
      <c r="AT18" s="53">
        <f t="shared" si="8"/>
        <v>0</v>
      </c>
      <c r="AU18" s="55"/>
      <c r="AV18" s="66">
        <f t="shared" si="9"/>
        <v>8100000</v>
      </c>
      <c r="AW18" s="45"/>
      <c r="AX18" s="53">
        <f t="shared" si="1"/>
        <v>0</v>
      </c>
      <c r="AY18" s="53">
        <f t="shared" si="2"/>
        <v>8100000</v>
      </c>
      <c r="AZ18" s="53">
        <f t="shared" si="3"/>
        <v>0</v>
      </c>
      <c r="BE18" s="50">
        <v>0</v>
      </c>
      <c r="BF18" s="51">
        <f t="shared" si="10"/>
        <v>600</v>
      </c>
      <c r="BG18" s="54">
        <f>BF18*BE18</f>
        <v>0</v>
      </c>
      <c r="BH18" s="50">
        <v>0</v>
      </c>
      <c r="BI18" s="51">
        <f t="shared" si="11"/>
        <v>0</v>
      </c>
      <c r="BK18" s="50">
        <v>0</v>
      </c>
      <c r="BL18" s="51">
        <f>BF18</f>
        <v>600</v>
      </c>
      <c r="BM18" s="54">
        <f t="shared" ref="BM18" si="35">BL18*BK18</f>
        <v>0</v>
      </c>
      <c r="BO18" s="50">
        <v>0</v>
      </c>
      <c r="BP18" s="51">
        <f>BL18</f>
        <v>600</v>
      </c>
      <c r="BQ18" s="54">
        <f t="shared" ref="BQ18" si="36">BP18*BO18</f>
        <v>0</v>
      </c>
      <c r="BY18" s="60"/>
      <c r="BZ18" s="60"/>
      <c r="CE18" s="50">
        <v>0</v>
      </c>
      <c r="CF18" s="51">
        <f>BR18</f>
        <v>0</v>
      </c>
      <c r="CG18" s="54">
        <f t="shared" ref="CG18" si="37">CF18*CE18</f>
        <v>0</v>
      </c>
      <c r="CS18" s="60">
        <f>SUM(CS5:CS17)</f>
        <v>20735000</v>
      </c>
    </row>
    <row r="19" spans="1:97" ht="20.100000000000001" customHeight="1" x14ac:dyDescent="0.25">
      <c r="A19" s="64"/>
      <c r="B19" s="139"/>
      <c r="C19" s="49" t="s">
        <v>87</v>
      </c>
      <c r="D19" s="50">
        <v>1</v>
      </c>
      <c r="E19" s="50">
        <v>2.7</v>
      </c>
      <c r="F19" s="51">
        <v>400000</v>
      </c>
      <c r="G19" s="51">
        <f t="shared" si="4"/>
        <v>1080000</v>
      </c>
      <c r="H19" s="51">
        <v>468000</v>
      </c>
      <c r="I19" s="72">
        <f t="shared" si="25"/>
        <v>0.43333333333333335</v>
      </c>
      <c r="J19" s="52"/>
      <c r="K19" s="50">
        <v>1</v>
      </c>
      <c r="L19" s="51">
        <v>1023000</v>
      </c>
      <c r="M19" s="51">
        <f t="shared" si="6"/>
        <v>1023000</v>
      </c>
      <c r="N19" s="52"/>
      <c r="O19" s="50">
        <v>1</v>
      </c>
      <c r="P19" s="53">
        <f>($L$19)*O19</f>
        <v>1023000</v>
      </c>
      <c r="Q19" s="53">
        <f t="shared" si="14"/>
        <v>1023000</v>
      </c>
      <c r="R19" s="54"/>
      <c r="S19" s="53">
        <f>$G$19-Q19</f>
        <v>57000</v>
      </c>
      <c r="U19" s="50">
        <v>1</v>
      </c>
      <c r="V19" s="53">
        <f>($L$19)*U19</f>
        <v>1023000</v>
      </c>
      <c r="W19" s="53">
        <f t="shared" si="15"/>
        <v>1023000</v>
      </c>
      <c r="X19" s="54"/>
      <c r="Y19" s="53">
        <f>$S$19-W19</f>
        <v>-966000</v>
      </c>
      <c r="AA19" s="50">
        <v>1</v>
      </c>
      <c r="AB19" s="53">
        <v>1023000</v>
      </c>
      <c r="AC19" s="53">
        <f t="shared" si="32"/>
        <v>1023000</v>
      </c>
      <c r="AD19" s="54"/>
      <c r="AE19" s="53">
        <f>$Y$19-AC19</f>
        <v>-1989000</v>
      </c>
      <c r="AF19" s="45"/>
      <c r="AG19" s="50">
        <v>1</v>
      </c>
      <c r="AH19" s="53">
        <f>($L$19)*AG19</f>
        <v>1023000</v>
      </c>
      <c r="AI19" s="53">
        <f t="shared" si="33"/>
        <v>1023000</v>
      </c>
      <c r="AJ19" s="55"/>
      <c r="AK19" s="53">
        <f t="shared" si="7"/>
        <v>-3012000</v>
      </c>
      <c r="AL19" s="50">
        <v>1</v>
      </c>
      <c r="AM19" s="53">
        <f>($L$19)*AL19</f>
        <v>1023000</v>
      </c>
      <c r="AN19" s="53">
        <f t="shared" si="34"/>
        <v>1023000</v>
      </c>
      <c r="AO19" s="55"/>
      <c r="AP19" s="53">
        <f t="shared" si="0"/>
        <v>-4035000</v>
      </c>
      <c r="AQ19" s="45"/>
      <c r="AR19" s="50">
        <v>1</v>
      </c>
      <c r="AS19" s="53">
        <f>($L$19)*AR19</f>
        <v>1023000</v>
      </c>
      <c r="AT19" s="53">
        <f t="shared" si="8"/>
        <v>1023000</v>
      </c>
      <c r="AU19" s="55"/>
      <c r="AV19" s="53">
        <f t="shared" si="9"/>
        <v>-5058000</v>
      </c>
      <c r="AW19" s="45"/>
      <c r="AX19" s="53">
        <f t="shared" si="1"/>
        <v>6138000</v>
      </c>
      <c r="AY19" s="56">
        <f t="shared" si="2"/>
        <v>-5058000</v>
      </c>
      <c r="AZ19" s="53">
        <f t="shared" si="3"/>
        <v>6138000</v>
      </c>
      <c r="BE19" s="50">
        <v>1</v>
      </c>
      <c r="BF19" s="51">
        <f t="shared" si="10"/>
        <v>400000</v>
      </c>
      <c r="BG19" s="54">
        <f>(BF19*BE19)</f>
        <v>400000</v>
      </c>
      <c r="BH19" s="50">
        <v>1</v>
      </c>
      <c r="BI19" s="51">
        <f t="shared" si="11"/>
        <v>400000</v>
      </c>
      <c r="BK19" s="50">
        <v>0</v>
      </c>
      <c r="BL19" s="53">
        <f>($L$19)*BK19</f>
        <v>0</v>
      </c>
      <c r="BM19" s="54">
        <f>(BL19*BK19)</f>
        <v>0</v>
      </c>
      <c r="BO19" s="50">
        <v>0</v>
      </c>
      <c r="BP19" s="53">
        <f>($L$19)*BO19</f>
        <v>0</v>
      </c>
      <c r="BQ19" s="54">
        <f>(BP19*BO19)</f>
        <v>0</v>
      </c>
      <c r="BY19" s="60"/>
      <c r="BZ19" s="60"/>
      <c r="CE19" s="50">
        <v>0</v>
      </c>
      <c r="CF19" s="53">
        <f>($L$19)*CE19</f>
        <v>0</v>
      </c>
      <c r="CG19" s="54">
        <f>(CF19*CE19)</f>
        <v>0</v>
      </c>
      <c r="CS19" s="60">
        <f>BG5</f>
        <v>125905000</v>
      </c>
    </row>
    <row r="20" spans="1:97" ht="20.100000000000001" customHeight="1" x14ac:dyDescent="0.25">
      <c r="A20" s="64"/>
      <c r="B20" s="139"/>
      <c r="C20" s="49" t="s">
        <v>88</v>
      </c>
      <c r="D20" s="50">
        <v>2</v>
      </c>
      <c r="E20" s="50">
        <v>2.7</v>
      </c>
      <c r="F20" s="51">
        <v>250000</v>
      </c>
      <c r="G20" s="51">
        <f t="shared" si="4"/>
        <v>1350000</v>
      </c>
      <c r="H20" s="51">
        <v>335000</v>
      </c>
      <c r="I20" s="72">
        <f t="shared" si="25"/>
        <v>0.24814814814814815</v>
      </c>
      <c r="J20" s="52"/>
      <c r="K20" s="50">
        <v>1</v>
      </c>
      <c r="L20" s="51">
        <v>230000</v>
      </c>
      <c r="M20" s="51">
        <f t="shared" si="6"/>
        <v>230000</v>
      </c>
      <c r="N20" s="52"/>
      <c r="O20" s="50">
        <v>1</v>
      </c>
      <c r="P20" s="53">
        <f>($L$20)*O20</f>
        <v>230000</v>
      </c>
      <c r="Q20" s="53">
        <f t="shared" si="14"/>
        <v>230000</v>
      </c>
      <c r="R20" s="54"/>
      <c r="S20" s="53">
        <f>$G$20-Q20</f>
        <v>1120000</v>
      </c>
      <c r="U20" s="50">
        <v>1</v>
      </c>
      <c r="V20" s="53">
        <f>($L$20)*U20</f>
        <v>230000</v>
      </c>
      <c r="W20" s="53">
        <f t="shared" si="15"/>
        <v>230000</v>
      </c>
      <c r="X20" s="54"/>
      <c r="Y20" s="53">
        <f>$S$20-W20</f>
        <v>890000</v>
      </c>
      <c r="AA20" s="50">
        <v>1</v>
      </c>
      <c r="AB20" s="53">
        <v>230000</v>
      </c>
      <c r="AC20" s="53">
        <f t="shared" si="32"/>
        <v>230000</v>
      </c>
      <c r="AD20" s="54"/>
      <c r="AE20" s="53">
        <f>$Y$20-AC20</f>
        <v>660000</v>
      </c>
      <c r="AF20" s="45"/>
      <c r="AG20" s="50">
        <v>2</v>
      </c>
      <c r="AH20" s="53">
        <f>($L$20)*AG20</f>
        <v>460000</v>
      </c>
      <c r="AI20" s="53">
        <f>AH20</f>
        <v>460000</v>
      </c>
      <c r="AJ20" s="55"/>
      <c r="AK20" s="53">
        <f t="shared" si="7"/>
        <v>200000</v>
      </c>
      <c r="AL20" s="50">
        <v>2</v>
      </c>
      <c r="AM20" s="53">
        <f>($L$20)*AL20</f>
        <v>460000</v>
      </c>
      <c r="AN20" s="53">
        <f>AM20</f>
        <v>460000</v>
      </c>
      <c r="AO20" s="55"/>
      <c r="AP20" s="53">
        <f t="shared" si="0"/>
        <v>-260000</v>
      </c>
      <c r="AQ20" s="45"/>
      <c r="AR20" s="50">
        <v>2</v>
      </c>
      <c r="AS20" s="53">
        <v>230000</v>
      </c>
      <c r="AT20" s="53">
        <f>AS20*AR20</f>
        <v>460000</v>
      </c>
      <c r="AU20" s="55"/>
      <c r="AV20" s="53">
        <f t="shared" si="9"/>
        <v>-720000</v>
      </c>
      <c r="AW20" s="45"/>
      <c r="AX20" s="53">
        <f t="shared" si="1"/>
        <v>2070000</v>
      </c>
      <c r="AY20" s="53">
        <f t="shared" si="2"/>
        <v>-720000</v>
      </c>
      <c r="AZ20" s="53">
        <f t="shared" si="3"/>
        <v>2070000</v>
      </c>
      <c r="BE20" s="50">
        <v>1</v>
      </c>
      <c r="BF20" s="51">
        <f t="shared" si="10"/>
        <v>250000</v>
      </c>
      <c r="BG20" s="54">
        <f>(BF20*BE20)</f>
        <v>250000</v>
      </c>
      <c r="BH20" s="50">
        <v>1</v>
      </c>
      <c r="BI20" s="51">
        <f t="shared" si="11"/>
        <v>250000</v>
      </c>
      <c r="BK20" s="50">
        <v>0</v>
      </c>
      <c r="BL20" s="53">
        <f>($L$20)*BK20</f>
        <v>0</v>
      </c>
      <c r="BM20" s="53">
        <f>BL20</f>
        <v>0</v>
      </c>
      <c r="BO20" s="50">
        <v>0</v>
      </c>
      <c r="BP20" s="53">
        <f>($L$20)*BO20</f>
        <v>0</v>
      </c>
      <c r="BQ20" s="53">
        <f>BP20</f>
        <v>0</v>
      </c>
      <c r="BY20" s="60"/>
      <c r="BZ20" s="60"/>
      <c r="CE20" s="50">
        <v>0</v>
      </c>
      <c r="CF20" s="53">
        <f>($L$20)*CE20</f>
        <v>0</v>
      </c>
      <c r="CG20" s="53">
        <f>CF20</f>
        <v>0</v>
      </c>
      <c r="CS20" s="60">
        <f>CS19-CS18</f>
        <v>105170000</v>
      </c>
    </row>
    <row r="21" spans="1:97" ht="20.100000000000001" customHeight="1" x14ac:dyDescent="0.25">
      <c r="A21" s="64"/>
      <c r="B21" s="139"/>
      <c r="C21" s="49" t="s">
        <v>89</v>
      </c>
      <c r="D21" s="50">
        <v>1</v>
      </c>
      <c r="E21" s="50">
        <v>2.7</v>
      </c>
      <c r="F21" s="51">
        <v>550000</v>
      </c>
      <c r="G21" s="51">
        <f t="shared" si="4"/>
        <v>1485000</v>
      </c>
      <c r="H21" s="51">
        <v>643500</v>
      </c>
      <c r="I21" s="72">
        <f t="shared" si="25"/>
        <v>0.43333333333333335</v>
      </c>
      <c r="J21" s="52"/>
      <c r="K21" s="50">
        <v>1</v>
      </c>
      <c r="L21" s="51">
        <v>710000</v>
      </c>
      <c r="M21" s="51">
        <f t="shared" si="6"/>
        <v>710000</v>
      </c>
      <c r="N21" s="52"/>
      <c r="O21" s="50">
        <v>0</v>
      </c>
      <c r="P21" s="53">
        <f>($L$21)*O21</f>
        <v>0</v>
      </c>
      <c r="Q21" s="53">
        <f t="shared" si="14"/>
        <v>0</v>
      </c>
      <c r="R21" s="54"/>
      <c r="S21" s="53">
        <f>$G$21-Q21</f>
        <v>1485000</v>
      </c>
      <c r="U21" s="50">
        <v>1</v>
      </c>
      <c r="V21" s="53">
        <f>($L$21)*U21</f>
        <v>710000</v>
      </c>
      <c r="W21" s="53">
        <f t="shared" si="15"/>
        <v>710000</v>
      </c>
      <c r="X21" s="54"/>
      <c r="Y21" s="53">
        <f>$S$21-W21</f>
        <v>775000</v>
      </c>
      <c r="AA21" s="50">
        <v>1</v>
      </c>
      <c r="AB21" s="53">
        <v>710000</v>
      </c>
      <c r="AC21" s="53">
        <f t="shared" si="32"/>
        <v>710000</v>
      </c>
      <c r="AD21" s="54"/>
      <c r="AE21" s="53">
        <f>$Y$21-AC21</f>
        <v>65000</v>
      </c>
      <c r="AF21" s="45"/>
      <c r="AG21" s="50">
        <v>1</v>
      </c>
      <c r="AH21" s="53">
        <f>($L$21)*AG21</f>
        <v>710000</v>
      </c>
      <c r="AI21" s="53">
        <f t="shared" si="33"/>
        <v>710000</v>
      </c>
      <c r="AJ21" s="55"/>
      <c r="AK21" s="53">
        <f t="shared" si="7"/>
        <v>-645000</v>
      </c>
      <c r="AL21" s="50">
        <v>1</v>
      </c>
      <c r="AM21" s="53">
        <f>($L$21)*AL21</f>
        <v>710000</v>
      </c>
      <c r="AN21" s="53">
        <f t="shared" si="34"/>
        <v>710000</v>
      </c>
      <c r="AO21" s="55"/>
      <c r="AP21" s="53">
        <f t="shared" si="0"/>
        <v>-1355000</v>
      </c>
      <c r="AQ21" s="45"/>
      <c r="AR21" s="50">
        <v>1</v>
      </c>
      <c r="AS21" s="53">
        <f>($L$21)*AR21</f>
        <v>710000</v>
      </c>
      <c r="AT21" s="53">
        <f t="shared" si="8"/>
        <v>710000</v>
      </c>
      <c r="AU21" s="55"/>
      <c r="AV21" s="66">
        <f t="shared" si="9"/>
        <v>-2065000</v>
      </c>
      <c r="AW21" s="45"/>
      <c r="AX21" s="53">
        <f t="shared" si="1"/>
        <v>3550000</v>
      </c>
      <c r="AY21" s="53">
        <f t="shared" si="2"/>
        <v>-2065000</v>
      </c>
      <c r="AZ21" s="53">
        <f t="shared" si="3"/>
        <v>3550000</v>
      </c>
      <c r="BE21" s="50">
        <v>1</v>
      </c>
      <c r="BF21" s="51">
        <f t="shared" si="10"/>
        <v>550000</v>
      </c>
      <c r="BG21" s="53">
        <f>(BF21*BE21)</f>
        <v>550000</v>
      </c>
      <c r="BH21" s="50">
        <v>1</v>
      </c>
      <c r="BI21" s="51">
        <f t="shared" si="11"/>
        <v>550000</v>
      </c>
      <c r="BK21" s="50">
        <v>1</v>
      </c>
      <c r="BL21" s="53">
        <f>($L$21)*BK21</f>
        <v>710000</v>
      </c>
      <c r="BM21" s="53">
        <f>(BL21*BK21)</f>
        <v>710000</v>
      </c>
      <c r="BO21" s="50">
        <v>1</v>
      </c>
      <c r="BP21" s="53">
        <f>($L$21)*BO21</f>
        <v>710000</v>
      </c>
      <c r="BQ21" s="53">
        <f>(BP21*BO21)</f>
        <v>710000</v>
      </c>
      <c r="BY21" s="60"/>
      <c r="BZ21" s="60"/>
      <c r="CE21" s="50">
        <v>0</v>
      </c>
      <c r="CF21" s="53">
        <f>($L$21)*CE21</f>
        <v>0</v>
      </c>
      <c r="CG21" s="53">
        <f>(CF21*CE21)</f>
        <v>0</v>
      </c>
      <c r="CS21" s="79">
        <f>CS20/CF5</f>
        <v>13.187460815047022</v>
      </c>
    </row>
    <row r="22" spans="1:97" ht="20.100000000000001" customHeight="1" x14ac:dyDescent="0.25">
      <c r="A22" s="64"/>
      <c r="B22" s="137" t="s">
        <v>90</v>
      </c>
      <c r="C22" s="49" t="s">
        <v>91</v>
      </c>
      <c r="D22" s="50">
        <v>1</v>
      </c>
      <c r="E22" s="50">
        <v>2.7</v>
      </c>
      <c r="F22" s="51">
        <v>6200000</v>
      </c>
      <c r="G22" s="51">
        <f t="shared" si="4"/>
        <v>16740000.000000002</v>
      </c>
      <c r="H22" s="51">
        <v>0</v>
      </c>
      <c r="I22" s="72">
        <f t="shared" si="25"/>
        <v>0</v>
      </c>
      <c r="J22" s="52"/>
      <c r="K22" s="50">
        <v>1</v>
      </c>
      <c r="L22" s="51">
        <v>11000000</v>
      </c>
      <c r="M22" s="51">
        <f t="shared" si="6"/>
        <v>11000000</v>
      </c>
      <c r="N22" s="52"/>
      <c r="O22" s="50">
        <v>0</v>
      </c>
      <c r="P22" s="53">
        <f t="shared" ref="P22:P30" si="38">(L22)*O22</f>
        <v>0</v>
      </c>
      <c r="Q22" s="53">
        <f t="shared" si="14"/>
        <v>0</v>
      </c>
      <c r="R22" s="54"/>
      <c r="S22" s="53">
        <f>$G$22-Q22</f>
        <v>16740000.000000002</v>
      </c>
      <c r="U22" s="50">
        <v>0</v>
      </c>
      <c r="V22" s="53">
        <f t="shared" ref="V22:V30" si="39">(R22)*U22</f>
        <v>0</v>
      </c>
      <c r="W22" s="53">
        <f t="shared" si="15"/>
        <v>0</v>
      </c>
      <c r="X22" s="54"/>
      <c r="Y22" s="53">
        <f>$S$22-W22</f>
        <v>16740000.000000002</v>
      </c>
      <c r="AA22" s="50">
        <v>0</v>
      </c>
      <c r="AB22" s="53">
        <v>0</v>
      </c>
      <c r="AC22" s="53">
        <f t="shared" ref="AC22:AC30" si="40">AB22*AA22</f>
        <v>0</v>
      </c>
      <c r="AD22" s="54"/>
      <c r="AE22" s="53">
        <f>$Y$22-AC22</f>
        <v>16740000.000000002</v>
      </c>
      <c r="AF22" s="45"/>
      <c r="AG22" s="50">
        <v>0</v>
      </c>
      <c r="AH22" s="53">
        <f t="shared" ref="AH22:AH30" si="41">(AD22)*AG22</f>
        <v>0</v>
      </c>
      <c r="AI22" s="53">
        <f t="shared" ref="AI22:AI30" si="42">AH22*AG22</f>
        <v>0</v>
      </c>
      <c r="AJ22" s="55"/>
      <c r="AK22" s="53">
        <f t="shared" si="7"/>
        <v>16740000.000000002</v>
      </c>
      <c r="AL22" s="50">
        <v>0</v>
      </c>
      <c r="AM22" s="53">
        <f t="shared" ref="AM22:AM30" si="43">(AJ22)*AL22</f>
        <v>0</v>
      </c>
      <c r="AN22" s="53">
        <f t="shared" ref="AN22:AN30" si="44">AM22*AL22</f>
        <v>0</v>
      </c>
      <c r="AO22" s="55"/>
      <c r="AP22" s="53">
        <f t="shared" si="0"/>
        <v>16740000.000000002</v>
      </c>
      <c r="AQ22" s="45"/>
      <c r="AR22" s="50">
        <v>0</v>
      </c>
      <c r="AS22" s="53">
        <f t="shared" ref="AS22:AS30" si="45">(AO22)*AR22</f>
        <v>0</v>
      </c>
      <c r="AT22" s="53">
        <f t="shared" si="8"/>
        <v>0</v>
      </c>
      <c r="AU22" s="55"/>
      <c r="AV22" s="53">
        <f t="shared" si="9"/>
        <v>16740000.000000002</v>
      </c>
      <c r="AW22" s="45"/>
      <c r="AX22" s="53">
        <f t="shared" si="1"/>
        <v>0</v>
      </c>
      <c r="AY22" s="53">
        <f t="shared" si="2"/>
        <v>16740000.000000002</v>
      </c>
      <c r="AZ22" s="53">
        <f t="shared" si="3"/>
        <v>0</v>
      </c>
      <c r="BE22" s="50">
        <v>0</v>
      </c>
      <c r="BF22" s="51">
        <f t="shared" si="10"/>
        <v>6200000</v>
      </c>
      <c r="BG22" s="53">
        <f t="shared" ref="BG22:BG30" si="46">BF22*BE22</f>
        <v>0</v>
      </c>
      <c r="BH22" s="50">
        <v>0</v>
      </c>
      <c r="BI22" s="51">
        <f t="shared" si="11"/>
        <v>0</v>
      </c>
      <c r="BK22" s="50">
        <v>0</v>
      </c>
      <c r="BL22" s="53">
        <f t="shared" ref="BL22:BL30" si="47">(BF22)*BK22</f>
        <v>0</v>
      </c>
      <c r="BM22" s="53">
        <f t="shared" ref="BM22:BM30" si="48">BL22*BK22</f>
        <v>0</v>
      </c>
      <c r="BO22" s="50">
        <v>0</v>
      </c>
      <c r="BP22" s="53">
        <f t="shared" ref="BP22:BP30" si="49">(BL22)*BO22</f>
        <v>0</v>
      </c>
      <c r="BQ22" s="53">
        <f t="shared" ref="BQ22:BQ30" si="50">BP22*BO22</f>
        <v>0</v>
      </c>
      <c r="CE22" s="50">
        <v>0</v>
      </c>
      <c r="CF22" s="53">
        <f t="shared" ref="CF22:CF30" si="51">(BR22)*CE22</f>
        <v>0</v>
      </c>
      <c r="CG22" s="53">
        <f t="shared" ref="CG22:CG30" si="52">CF22*CE22</f>
        <v>0</v>
      </c>
    </row>
    <row r="23" spans="1:97" ht="20.100000000000001" customHeight="1" x14ac:dyDescent="0.25">
      <c r="A23" s="64"/>
      <c r="B23" s="137"/>
      <c r="C23" s="49" t="s">
        <v>92</v>
      </c>
      <c r="D23" s="50">
        <v>1</v>
      </c>
      <c r="E23" s="50">
        <v>2.7</v>
      </c>
      <c r="F23" s="51">
        <v>310</v>
      </c>
      <c r="G23" s="51">
        <f t="shared" si="4"/>
        <v>837</v>
      </c>
      <c r="H23" s="51">
        <v>0</v>
      </c>
      <c r="I23" s="72">
        <f t="shared" si="25"/>
        <v>0</v>
      </c>
      <c r="J23" s="52"/>
      <c r="K23" s="50">
        <v>1</v>
      </c>
      <c r="L23" s="51">
        <v>550</v>
      </c>
      <c r="M23" s="51">
        <f t="shared" si="6"/>
        <v>550</v>
      </c>
      <c r="N23" s="52"/>
      <c r="O23" s="50">
        <v>0</v>
      </c>
      <c r="P23" s="53">
        <f t="shared" si="38"/>
        <v>0</v>
      </c>
      <c r="Q23" s="53">
        <f t="shared" si="14"/>
        <v>0</v>
      </c>
      <c r="R23" s="54"/>
      <c r="S23" s="53">
        <f>$G$23-Q23</f>
        <v>837</v>
      </c>
      <c r="U23" s="50">
        <v>0</v>
      </c>
      <c r="V23" s="53">
        <f t="shared" si="39"/>
        <v>0</v>
      </c>
      <c r="W23" s="53">
        <f t="shared" si="15"/>
        <v>0</v>
      </c>
      <c r="X23" s="54"/>
      <c r="Y23" s="53">
        <f>$S$23-W23</f>
        <v>837</v>
      </c>
      <c r="AA23" s="50">
        <v>0</v>
      </c>
      <c r="AB23" s="53">
        <v>0</v>
      </c>
      <c r="AC23" s="53">
        <f t="shared" si="40"/>
        <v>0</v>
      </c>
      <c r="AD23" s="54"/>
      <c r="AE23" s="53">
        <f>$Y$23-AC23</f>
        <v>837</v>
      </c>
      <c r="AF23" s="45"/>
      <c r="AG23" s="50">
        <v>0</v>
      </c>
      <c r="AH23" s="53">
        <f t="shared" si="41"/>
        <v>0</v>
      </c>
      <c r="AI23" s="53">
        <f t="shared" si="42"/>
        <v>0</v>
      </c>
      <c r="AJ23" s="55"/>
      <c r="AK23" s="53">
        <f t="shared" si="7"/>
        <v>837</v>
      </c>
      <c r="AL23" s="50">
        <v>0</v>
      </c>
      <c r="AM23" s="53">
        <f t="shared" si="43"/>
        <v>0</v>
      </c>
      <c r="AN23" s="53">
        <f t="shared" si="44"/>
        <v>0</v>
      </c>
      <c r="AO23" s="55"/>
      <c r="AP23" s="53">
        <f t="shared" si="0"/>
        <v>837</v>
      </c>
      <c r="AQ23" s="45"/>
      <c r="AR23" s="50">
        <v>0</v>
      </c>
      <c r="AS23" s="53">
        <f t="shared" si="45"/>
        <v>0</v>
      </c>
      <c r="AT23" s="53">
        <f t="shared" si="8"/>
        <v>0</v>
      </c>
      <c r="AU23" s="55"/>
      <c r="AV23" s="53">
        <f t="shared" si="9"/>
        <v>837</v>
      </c>
      <c r="AW23" s="45"/>
      <c r="AX23" s="53">
        <f t="shared" si="1"/>
        <v>0</v>
      </c>
      <c r="AY23" s="53">
        <f t="shared" si="2"/>
        <v>837</v>
      </c>
      <c r="AZ23" s="53">
        <f t="shared" si="3"/>
        <v>0</v>
      </c>
      <c r="BE23" s="50">
        <v>0</v>
      </c>
      <c r="BF23" s="51">
        <f t="shared" si="10"/>
        <v>310</v>
      </c>
      <c r="BG23" s="53">
        <f t="shared" si="46"/>
        <v>0</v>
      </c>
      <c r="BH23" s="50">
        <v>0</v>
      </c>
      <c r="BI23" s="51">
        <f t="shared" si="11"/>
        <v>0</v>
      </c>
      <c r="BK23" s="50">
        <v>0</v>
      </c>
      <c r="BL23" s="53">
        <f t="shared" si="47"/>
        <v>0</v>
      </c>
      <c r="BM23" s="53">
        <f t="shared" si="48"/>
        <v>0</v>
      </c>
      <c r="BO23" s="50">
        <v>0</v>
      </c>
      <c r="BP23" s="53">
        <f t="shared" si="49"/>
        <v>0</v>
      </c>
      <c r="BQ23" s="53">
        <f t="shared" si="50"/>
        <v>0</v>
      </c>
      <c r="CE23" s="50">
        <v>0</v>
      </c>
      <c r="CF23" s="53">
        <f t="shared" si="51"/>
        <v>0</v>
      </c>
      <c r="CG23" s="53">
        <f t="shared" si="52"/>
        <v>0</v>
      </c>
    </row>
    <row r="24" spans="1:97" ht="20.100000000000001" customHeight="1" x14ac:dyDescent="0.25">
      <c r="A24" s="64"/>
      <c r="B24" s="137"/>
      <c r="C24" s="49" t="s">
        <v>93</v>
      </c>
      <c r="D24" s="50">
        <v>1</v>
      </c>
      <c r="E24" s="50">
        <v>2.7</v>
      </c>
      <c r="F24" s="51">
        <v>41</v>
      </c>
      <c r="G24" s="51">
        <f t="shared" si="4"/>
        <v>110.7</v>
      </c>
      <c r="H24" s="51">
        <v>0</v>
      </c>
      <c r="I24" s="72">
        <f t="shared" si="25"/>
        <v>0</v>
      </c>
      <c r="J24" s="52"/>
      <c r="K24" s="50">
        <v>1</v>
      </c>
      <c r="L24" s="51">
        <v>34.611957225285394</v>
      </c>
      <c r="M24" s="51">
        <f t="shared" si="6"/>
        <v>34.611957225285394</v>
      </c>
      <c r="N24" s="52"/>
      <c r="O24" s="50">
        <v>0</v>
      </c>
      <c r="P24" s="53">
        <f t="shared" si="38"/>
        <v>0</v>
      </c>
      <c r="Q24" s="53">
        <f t="shared" si="14"/>
        <v>0</v>
      </c>
      <c r="R24" s="54"/>
      <c r="S24" s="53">
        <f>$G$24-Q24</f>
        <v>110.7</v>
      </c>
      <c r="U24" s="50">
        <v>0</v>
      </c>
      <c r="V24" s="53">
        <f t="shared" si="39"/>
        <v>0</v>
      </c>
      <c r="W24" s="53">
        <f t="shared" si="15"/>
        <v>0</v>
      </c>
      <c r="X24" s="54"/>
      <c r="Y24" s="53">
        <f>$S$24-W24</f>
        <v>110.7</v>
      </c>
      <c r="AA24" s="50">
        <v>0</v>
      </c>
      <c r="AB24" s="53">
        <v>0</v>
      </c>
      <c r="AC24" s="53">
        <f t="shared" si="40"/>
        <v>0</v>
      </c>
      <c r="AD24" s="54"/>
      <c r="AE24" s="53">
        <f>$Y$24-AC24</f>
        <v>110.7</v>
      </c>
      <c r="AF24" s="45"/>
      <c r="AG24" s="50">
        <v>0</v>
      </c>
      <c r="AH24" s="53">
        <f t="shared" si="41"/>
        <v>0</v>
      </c>
      <c r="AI24" s="53">
        <f t="shared" si="42"/>
        <v>0</v>
      </c>
      <c r="AJ24" s="55"/>
      <c r="AK24" s="53">
        <f t="shared" si="7"/>
        <v>110.7</v>
      </c>
      <c r="AL24" s="50">
        <v>0</v>
      </c>
      <c r="AM24" s="53">
        <f t="shared" si="43"/>
        <v>0</v>
      </c>
      <c r="AN24" s="53">
        <f t="shared" si="44"/>
        <v>0</v>
      </c>
      <c r="AO24" s="55"/>
      <c r="AP24" s="53">
        <f t="shared" si="0"/>
        <v>110.7</v>
      </c>
      <c r="AQ24" s="45"/>
      <c r="AR24" s="50">
        <v>0</v>
      </c>
      <c r="AS24" s="53">
        <f t="shared" si="45"/>
        <v>0</v>
      </c>
      <c r="AT24" s="53">
        <f t="shared" si="8"/>
        <v>0</v>
      </c>
      <c r="AU24" s="55"/>
      <c r="AV24" s="53">
        <f t="shared" si="9"/>
        <v>110.7</v>
      </c>
      <c r="AW24" s="45"/>
      <c r="AX24" s="53">
        <f t="shared" si="1"/>
        <v>0</v>
      </c>
      <c r="AY24" s="53">
        <f t="shared" si="2"/>
        <v>110.7</v>
      </c>
      <c r="AZ24" s="53">
        <f t="shared" si="3"/>
        <v>0</v>
      </c>
      <c r="BE24" s="50">
        <v>0</v>
      </c>
      <c r="BF24" s="51">
        <f t="shared" si="10"/>
        <v>41</v>
      </c>
      <c r="BG24" s="53">
        <f t="shared" si="46"/>
        <v>0</v>
      </c>
      <c r="BH24" s="50">
        <v>0</v>
      </c>
      <c r="BI24" s="51">
        <f t="shared" si="11"/>
        <v>0</v>
      </c>
      <c r="BK24" s="50">
        <v>0</v>
      </c>
      <c r="BL24" s="53">
        <f t="shared" si="47"/>
        <v>0</v>
      </c>
      <c r="BM24" s="53">
        <f t="shared" si="48"/>
        <v>0</v>
      </c>
      <c r="BO24" s="50">
        <v>0</v>
      </c>
      <c r="BP24" s="53">
        <f t="shared" si="49"/>
        <v>0</v>
      </c>
      <c r="BQ24" s="53">
        <f t="shared" si="50"/>
        <v>0</v>
      </c>
      <c r="CE24" s="50">
        <v>0</v>
      </c>
      <c r="CF24" s="53">
        <f t="shared" si="51"/>
        <v>0</v>
      </c>
      <c r="CG24" s="53">
        <f t="shared" si="52"/>
        <v>0</v>
      </c>
    </row>
    <row r="25" spans="1:97" ht="20.100000000000001" customHeight="1" x14ac:dyDescent="0.25">
      <c r="A25" s="64"/>
      <c r="B25" s="137"/>
      <c r="C25" s="49" t="s">
        <v>94</v>
      </c>
      <c r="D25" s="50">
        <v>1</v>
      </c>
      <c r="E25" s="50">
        <v>2.7</v>
      </c>
      <c r="F25" s="51">
        <v>0</v>
      </c>
      <c r="G25" s="51">
        <f t="shared" si="4"/>
        <v>0</v>
      </c>
      <c r="H25" s="51">
        <v>0</v>
      </c>
      <c r="I25" s="72" t="e">
        <f>H25/G25</f>
        <v>#DIV/0!</v>
      </c>
      <c r="J25" s="52"/>
      <c r="K25" s="50">
        <v>1</v>
      </c>
      <c r="L25" s="51">
        <v>31.150761502756861</v>
      </c>
      <c r="M25" s="51">
        <f t="shared" si="6"/>
        <v>31.150761502756861</v>
      </c>
      <c r="N25" s="52"/>
      <c r="O25" s="50">
        <v>0</v>
      </c>
      <c r="P25" s="53">
        <f t="shared" si="38"/>
        <v>0</v>
      </c>
      <c r="Q25" s="53">
        <f t="shared" si="14"/>
        <v>0</v>
      </c>
      <c r="R25" s="54"/>
      <c r="S25" s="53">
        <f>$G$25-Q25</f>
        <v>0</v>
      </c>
      <c r="U25" s="50">
        <v>0</v>
      </c>
      <c r="V25" s="53">
        <f t="shared" si="39"/>
        <v>0</v>
      </c>
      <c r="W25" s="53">
        <f t="shared" si="15"/>
        <v>0</v>
      </c>
      <c r="X25" s="54"/>
      <c r="Y25" s="53">
        <f>$S$25-W25</f>
        <v>0</v>
      </c>
      <c r="AA25" s="50">
        <v>0</v>
      </c>
      <c r="AB25" s="53">
        <v>0</v>
      </c>
      <c r="AC25" s="53">
        <f t="shared" si="40"/>
        <v>0</v>
      </c>
      <c r="AD25" s="54"/>
      <c r="AE25" s="53">
        <f>$Y$25-AC25</f>
        <v>0</v>
      </c>
      <c r="AF25" s="45"/>
      <c r="AG25" s="50">
        <v>0</v>
      </c>
      <c r="AH25" s="53">
        <f t="shared" si="41"/>
        <v>0</v>
      </c>
      <c r="AI25" s="53">
        <f t="shared" si="42"/>
        <v>0</v>
      </c>
      <c r="AJ25" s="55"/>
      <c r="AK25" s="53">
        <f t="shared" si="7"/>
        <v>0</v>
      </c>
      <c r="AL25" s="50">
        <v>0</v>
      </c>
      <c r="AM25" s="53">
        <f t="shared" si="43"/>
        <v>0</v>
      </c>
      <c r="AN25" s="53">
        <f t="shared" si="44"/>
        <v>0</v>
      </c>
      <c r="AO25" s="55"/>
      <c r="AP25" s="53">
        <f t="shared" si="0"/>
        <v>0</v>
      </c>
      <c r="AQ25" s="45"/>
      <c r="AR25" s="50">
        <v>0</v>
      </c>
      <c r="AS25" s="53">
        <f t="shared" si="45"/>
        <v>0</v>
      </c>
      <c r="AT25" s="53">
        <f t="shared" si="8"/>
        <v>0</v>
      </c>
      <c r="AU25" s="55"/>
      <c r="AV25" s="53">
        <f t="shared" si="9"/>
        <v>0</v>
      </c>
      <c r="AW25" s="45"/>
      <c r="AX25" s="53">
        <f t="shared" si="1"/>
        <v>0</v>
      </c>
      <c r="AY25" s="53">
        <f t="shared" si="2"/>
        <v>0</v>
      </c>
      <c r="AZ25" s="53">
        <f t="shared" si="3"/>
        <v>0</v>
      </c>
      <c r="BE25" s="50">
        <v>0</v>
      </c>
      <c r="BF25" s="51">
        <f t="shared" si="10"/>
        <v>0</v>
      </c>
      <c r="BG25" s="53">
        <f t="shared" si="46"/>
        <v>0</v>
      </c>
      <c r="BH25" s="50">
        <v>0</v>
      </c>
      <c r="BI25" s="51">
        <f t="shared" si="11"/>
        <v>0</v>
      </c>
      <c r="BK25" s="50">
        <v>0</v>
      </c>
      <c r="BL25" s="53">
        <f t="shared" si="47"/>
        <v>0</v>
      </c>
      <c r="BM25" s="53">
        <f t="shared" si="48"/>
        <v>0</v>
      </c>
      <c r="BO25" s="50">
        <v>0</v>
      </c>
      <c r="BP25" s="53">
        <f t="shared" si="49"/>
        <v>0</v>
      </c>
      <c r="BQ25" s="53">
        <f t="shared" si="50"/>
        <v>0</v>
      </c>
      <c r="CE25" s="50">
        <v>0</v>
      </c>
      <c r="CF25" s="53">
        <f t="shared" si="51"/>
        <v>0</v>
      </c>
      <c r="CG25" s="53">
        <f t="shared" si="52"/>
        <v>0</v>
      </c>
    </row>
    <row r="26" spans="1:97" ht="20.100000000000001" customHeight="1" x14ac:dyDescent="0.25">
      <c r="A26" s="64"/>
      <c r="B26" s="137"/>
      <c r="C26" s="49" t="s">
        <v>95</v>
      </c>
      <c r="D26" s="50">
        <v>1</v>
      </c>
      <c r="E26" s="50">
        <v>2.7</v>
      </c>
      <c r="F26" s="51">
        <v>15</v>
      </c>
      <c r="G26" s="51">
        <f t="shared" si="4"/>
        <v>40.5</v>
      </c>
      <c r="H26" s="51">
        <v>0</v>
      </c>
      <c r="I26" s="72">
        <f t="shared" si="25"/>
        <v>0</v>
      </c>
      <c r="J26" s="52"/>
      <c r="K26" s="50">
        <v>1</v>
      </c>
      <c r="L26" s="51">
        <v>20.767174335171234</v>
      </c>
      <c r="M26" s="51">
        <f t="shared" si="6"/>
        <v>20.767174335171234</v>
      </c>
      <c r="N26" s="52"/>
      <c r="O26" s="50">
        <v>0</v>
      </c>
      <c r="P26" s="53">
        <f t="shared" si="38"/>
        <v>0</v>
      </c>
      <c r="Q26" s="53">
        <f t="shared" si="14"/>
        <v>0</v>
      </c>
      <c r="R26" s="54"/>
      <c r="S26" s="53">
        <f>$G$26-Q26</f>
        <v>40.5</v>
      </c>
      <c r="U26" s="50">
        <v>0</v>
      </c>
      <c r="V26" s="53">
        <f t="shared" si="39"/>
        <v>0</v>
      </c>
      <c r="W26" s="53">
        <f t="shared" si="15"/>
        <v>0</v>
      </c>
      <c r="X26" s="54"/>
      <c r="Y26" s="53">
        <f>$S$26-W26</f>
        <v>40.5</v>
      </c>
      <c r="AA26" s="50">
        <v>0</v>
      </c>
      <c r="AB26" s="53">
        <v>0</v>
      </c>
      <c r="AC26" s="53">
        <f t="shared" si="40"/>
        <v>0</v>
      </c>
      <c r="AD26" s="54"/>
      <c r="AE26" s="53">
        <f>$Y$26-AC26</f>
        <v>40.5</v>
      </c>
      <c r="AF26" s="45"/>
      <c r="AG26" s="50">
        <v>0</v>
      </c>
      <c r="AH26" s="53">
        <f t="shared" si="41"/>
        <v>0</v>
      </c>
      <c r="AI26" s="53">
        <f t="shared" si="42"/>
        <v>0</v>
      </c>
      <c r="AJ26" s="55"/>
      <c r="AK26" s="53">
        <f t="shared" si="7"/>
        <v>40.5</v>
      </c>
      <c r="AL26" s="50">
        <v>0</v>
      </c>
      <c r="AM26" s="53">
        <f t="shared" si="43"/>
        <v>0</v>
      </c>
      <c r="AN26" s="53">
        <f t="shared" si="44"/>
        <v>0</v>
      </c>
      <c r="AO26" s="55"/>
      <c r="AP26" s="53">
        <f t="shared" si="0"/>
        <v>40.5</v>
      </c>
      <c r="AQ26" s="45"/>
      <c r="AR26" s="50">
        <v>0</v>
      </c>
      <c r="AS26" s="53">
        <f t="shared" si="45"/>
        <v>0</v>
      </c>
      <c r="AT26" s="53">
        <f t="shared" si="8"/>
        <v>0</v>
      </c>
      <c r="AU26" s="55"/>
      <c r="AV26" s="53">
        <f t="shared" si="9"/>
        <v>40.5</v>
      </c>
      <c r="AW26" s="45"/>
      <c r="AX26" s="53">
        <f t="shared" si="1"/>
        <v>0</v>
      </c>
      <c r="AY26" s="53">
        <f t="shared" si="2"/>
        <v>40.5</v>
      </c>
      <c r="AZ26" s="53">
        <f t="shared" si="3"/>
        <v>0</v>
      </c>
      <c r="BE26" s="50">
        <v>0</v>
      </c>
      <c r="BF26" s="51">
        <f t="shared" si="10"/>
        <v>15</v>
      </c>
      <c r="BG26" s="53">
        <f t="shared" si="46"/>
        <v>0</v>
      </c>
      <c r="BH26" s="50">
        <v>0</v>
      </c>
      <c r="BI26" s="51">
        <f t="shared" si="11"/>
        <v>0</v>
      </c>
      <c r="BK26" s="50">
        <v>0</v>
      </c>
      <c r="BL26" s="53">
        <f t="shared" si="47"/>
        <v>0</v>
      </c>
      <c r="BM26" s="53">
        <f t="shared" si="48"/>
        <v>0</v>
      </c>
      <c r="BO26" s="50">
        <v>0</v>
      </c>
      <c r="BP26" s="53">
        <f t="shared" si="49"/>
        <v>0</v>
      </c>
      <c r="BQ26" s="53">
        <f t="shared" si="50"/>
        <v>0</v>
      </c>
      <c r="CE26" s="50">
        <v>0</v>
      </c>
      <c r="CF26" s="53">
        <f t="shared" si="51"/>
        <v>0</v>
      </c>
      <c r="CG26" s="53">
        <f t="shared" si="52"/>
        <v>0</v>
      </c>
    </row>
    <row r="27" spans="1:97" ht="20.100000000000001" customHeight="1" x14ac:dyDescent="0.25">
      <c r="A27" s="64"/>
      <c r="B27" s="137"/>
      <c r="C27" s="49" t="s">
        <v>96</v>
      </c>
      <c r="D27" s="50">
        <v>1</v>
      </c>
      <c r="E27" s="50">
        <v>2.7</v>
      </c>
      <c r="F27" s="51">
        <v>12</v>
      </c>
      <c r="G27" s="51">
        <f t="shared" si="4"/>
        <v>32.400000000000006</v>
      </c>
      <c r="H27" s="51">
        <v>0</v>
      </c>
      <c r="I27" s="72">
        <f t="shared" si="25"/>
        <v>0</v>
      </c>
      <c r="J27" s="52"/>
      <c r="K27" s="50">
        <v>1</v>
      </c>
      <c r="L27" s="51">
        <v>28.843297687737831</v>
      </c>
      <c r="M27" s="51">
        <f t="shared" si="6"/>
        <v>28.843297687737831</v>
      </c>
      <c r="N27" s="52"/>
      <c r="O27" s="50">
        <v>0</v>
      </c>
      <c r="P27" s="53">
        <f t="shared" si="38"/>
        <v>0</v>
      </c>
      <c r="Q27" s="53">
        <f t="shared" si="14"/>
        <v>0</v>
      </c>
      <c r="R27" s="54"/>
      <c r="S27" s="53">
        <f>$G$27-Q27</f>
        <v>32.400000000000006</v>
      </c>
      <c r="U27" s="50">
        <v>0</v>
      </c>
      <c r="V27" s="53">
        <f t="shared" si="39"/>
        <v>0</v>
      </c>
      <c r="W27" s="53">
        <f t="shared" si="15"/>
        <v>0</v>
      </c>
      <c r="X27" s="54"/>
      <c r="Y27" s="53">
        <f>$S$27-W27</f>
        <v>32.400000000000006</v>
      </c>
      <c r="AA27" s="50">
        <v>0</v>
      </c>
      <c r="AB27" s="53">
        <v>0</v>
      </c>
      <c r="AC27" s="53">
        <f t="shared" si="40"/>
        <v>0</v>
      </c>
      <c r="AD27" s="54"/>
      <c r="AE27" s="53">
        <f>$Y$27-AC27</f>
        <v>32.400000000000006</v>
      </c>
      <c r="AF27" s="45"/>
      <c r="AG27" s="50">
        <v>0</v>
      </c>
      <c r="AH27" s="53">
        <f t="shared" si="41"/>
        <v>0</v>
      </c>
      <c r="AI27" s="53">
        <f t="shared" si="42"/>
        <v>0</v>
      </c>
      <c r="AJ27" s="55"/>
      <c r="AK27" s="53">
        <f t="shared" si="7"/>
        <v>32.400000000000006</v>
      </c>
      <c r="AL27" s="50">
        <v>0</v>
      </c>
      <c r="AM27" s="53">
        <f t="shared" si="43"/>
        <v>0</v>
      </c>
      <c r="AN27" s="53">
        <f t="shared" si="44"/>
        <v>0</v>
      </c>
      <c r="AO27" s="55"/>
      <c r="AP27" s="53">
        <f t="shared" si="0"/>
        <v>32.400000000000006</v>
      </c>
      <c r="AQ27" s="45"/>
      <c r="AR27" s="50">
        <v>0</v>
      </c>
      <c r="AS27" s="53">
        <f t="shared" si="45"/>
        <v>0</v>
      </c>
      <c r="AT27" s="53">
        <f t="shared" si="8"/>
        <v>0</v>
      </c>
      <c r="AU27" s="55"/>
      <c r="AV27" s="53">
        <f t="shared" si="9"/>
        <v>32.400000000000006</v>
      </c>
      <c r="AW27" s="45"/>
      <c r="AX27" s="53">
        <f t="shared" si="1"/>
        <v>0</v>
      </c>
      <c r="AY27" s="53">
        <f t="shared" si="2"/>
        <v>32.400000000000006</v>
      </c>
      <c r="AZ27" s="53">
        <f t="shared" si="3"/>
        <v>0</v>
      </c>
      <c r="BE27" s="50">
        <v>0</v>
      </c>
      <c r="BF27" s="51">
        <f t="shared" si="10"/>
        <v>12</v>
      </c>
      <c r="BG27" s="53">
        <f t="shared" si="46"/>
        <v>0</v>
      </c>
      <c r="BH27" s="50">
        <v>0</v>
      </c>
      <c r="BI27" s="51">
        <f t="shared" si="11"/>
        <v>0</v>
      </c>
      <c r="BK27" s="50">
        <v>0</v>
      </c>
      <c r="BL27" s="53">
        <f t="shared" si="47"/>
        <v>0</v>
      </c>
      <c r="BM27" s="53">
        <f t="shared" si="48"/>
        <v>0</v>
      </c>
      <c r="BO27" s="50">
        <v>0</v>
      </c>
      <c r="BP27" s="53">
        <f t="shared" si="49"/>
        <v>0</v>
      </c>
      <c r="BQ27" s="53">
        <f t="shared" si="50"/>
        <v>0</v>
      </c>
      <c r="CE27" s="50">
        <v>0</v>
      </c>
      <c r="CF27" s="53">
        <f t="shared" si="51"/>
        <v>0</v>
      </c>
      <c r="CG27" s="53">
        <f t="shared" si="52"/>
        <v>0</v>
      </c>
    </row>
    <row r="28" spans="1:97" ht="20.100000000000001" customHeight="1" x14ac:dyDescent="0.25">
      <c r="A28" s="64"/>
      <c r="B28" s="137"/>
      <c r="C28" s="49" t="s">
        <v>97</v>
      </c>
      <c r="D28" s="50">
        <v>1</v>
      </c>
      <c r="E28" s="50">
        <v>2.7</v>
      </c>
      <c r="F28" s="51">
        <v>210000</v>
      </c>
      <c r="G28" s="51">
        <f t="shared" si="4"/>
        <v>567000</v>
      </c>
      <c r="H28" s="51">
        <v>0</v>
      </c>
      <c r="I28" s="72">
        <f t="shared" si="25"/>
        <v>0</v>
      </c>
      <c r="J28" s="52"/>
      <c r="K28" s="50">
        <v>1</v>
      </c>
      <c r="L28" s="51">
        <v>250000</v>
      </c>
      <c r="M28" s="51">
        <f t="shared" si="6"/>
        <v>250000</v>
      </c>
      <c r="N28" s="52"/>
      <c r="O28" s="50">
        <v>0</v>
      </c>
      <c r="P28" s="53">
        <f t="shared" si="38"/>
        <v>0</v>
      </c>
      <c r="Q28" s="53">
        <f t="shared" si="14"/>
        <v>0</v>
      </c>
      <c r="R28" s="54"/>
      <c r="S28" s="53">
        <f>$G$28-Q28</f>
        <v>567000</v>
      </c>
      <c r="U28" s="50">
        <v>0</v>
      </c>
      <c r="V28" s="53">
        <f t="shared" si="39"/>
        <v>0</v>
      </c>
      <c r="W28" s="53">
        <f t="shared" si="15"/>
        <v>0</v>
      </c>
      <c r="X28" s="54"/>
      <c r="Y28" s="53">
        <f>$S$28-W28</f>
        <v>567000</v>
      </c>
      <c r="AA28" s="50">
        <v>0</v>
      </c>
      <c r="AB28" s="53">
        <v>0</v>
      </c>
      <c r="AC28" s="53">
        <f t="shared" si="40"/>
        <v>0</v>
      </c>
      <c r="AD28" s="54"/>
      <c r="AE28" s="53">
        <f>$Y$28-AC28</f>
        <v>567000</v>
      </c>
      <c r="AF28" s="45"/>
      <c r="AG28" s="50">
        <v>0</v>
      </c>
      <c r="AH28" s="53">
        <f t="shared" si="41"/>
        <v>0</v>
      </c>
      <c r="AI28" s="53">
        <f t="shared" si="42"/>
        <v>0</v>
      </c>
      <c r="AJ28" s="55"/>
      <c r="AK28" s="53">
        <f t="shared" si="7"/>
        <v>567000</v>
      </c>
      <c r="AL28" s="50">
        <v>0</v>
      </c>
      <c r="AM28" s="53">
        <f t="shared" si="43"/>
        <v>0</v>
      </c>
      <c r="AN28" s="53">
        <f t="shared" si="44"/>
        <v>0</v>
      </c>
      <c r="AO28" s="55"/>
      <c r="AP28" s="53">
        <f t="shared" si="0"/>
        <v>567000</v>
      </c>
      <c r="AQ28" s="45"/>
      <c r="AR28" s="50">
        <v>0</v>
      </c>
      <c r="AS28" s="53">
        <f t="shared" si="45"/>
        <v>0</v>
      </c>
      <c r="AT28" s="53">
        <f t="shared" si="8"/>
        <v>0</v>
      </c>
      <c r="AU28" s="55"/>
      <c r="AV28" s="53">
        <f t="shared" si="9"/>
        <v>567000</v>
      </c>
      <c r="AW28" s="45"/>
      <c r="AX28" s="53">
        <f t="shared" si="1"/>
        <v>0</v>
      </c>
      <c r="AY28" s="53">
        <f t="shared" si="2"/>
        <v>567000</v>
      </c>
      <c r="AZ28" s="53">
        <f t="shared" si="3"/>
        <v>0</v>
      </c>
      <c r="BE28" s="50">
        <v>0</v>
      </c>
      <c r="BF28" s="51">
        <f t="shared" si="10"/>
        <v>210000</v>
      </c>
      <c r="BG28" s="53">
        <f t="shared" si="46"/>
        <v>0</v>
      </c>
      <c r="BH28" s="50">
        <v>0</v>
      </c>
      <c r="BI28" s="51">
        <f t="shared" si="11"/>
        <v>0</v>
      </c>
      <c r="BK28" s="50">
        <v>0</v>
      </c>
      <c r="BL28" s="53">
        <f t="shared" si="47"/>
        <v>0</v>
      </c>
      <c r="BM28" s="53">
        <f t="shared" si="48"/>
        <v>0</v>
      </c>
      <c r="BO28" s="50">
        <v>0</v>
      </c>
      <c r="BP28" s="53">
        <f t="shared" si="49"/>
        <v>0</v>
      </c>
      <c r="BQ28" s="53">
        <f t="shared" si="50"/>
        <v>0</v>
      </c>
      <c r="CE28" s="50">
        <v>0</v>
      </c>
      <c r="CF28" s="53">
        <f t="shared" si="51"/>
        <v>0</v>
      </c>
      <c r="CG28" s="53">
        <f t="shared" si="52"/>
        <v>0</v>
      </c>
    </row>
    <row r="29" spans="1:97" ht="20.100000000000001" customHeight="1" x14ac:dyDescent="0.25">
      <c r="A29" s="64"/>
      <c r="B29" s="137"/>
      <c r="C29" s="49" t="s">
        <v>98</v>
      </c>
      <c r="D29" s="50">
        <v>1</v>
      </c>
      <c r="E29" s="50">
        <v>2.7</v>
      </c>
      <c r="F29" s="51">
        <v>425000</v>
      </c>
      <c r="G29" s="51">
        <f t="shared" si="4"/>
        <v>1147500</v>
      </c>
      <c r="H29" s="51">
        <v>0</v>
      </c>
      <c r="I29" s="72">
        <f t="shared" si="25"/>
        <v>0</v>
      </c>
      <c r="J29" s="52"/>
      <c r="K29" s="50">
        <v>1</v>
      </c>
      <c r="L29" s="51">
        <v>1361000</v>
      </c>
      <c r="M29" s="51">
        <f t="shared" si="6"/>
        <v>1361000</v>
      </c>
      <c r="N29" s="52"/>
      <c r="O29" s="50">
        <v>0</v>
      </c>
      <c r="P29" s="53">
        <f t="shared" si="38"/>
        <v>0</v>
      </c>
      <c r="Q29" s="53">
        <f t="shared" si="14"/>
        <v>0</v>
      </c>
      <c r="R29" s="54"/>
      <c r="S29" s="53">
        <f>$G$29-Q29</f>
        <v>1147500</v>
      </c>
      <c r="U29" s="50">
        <v>0</v>
      </c>
      <c r="V29" s="53">
        <f t="shared" si="39"/>
        <v>0</v>
      </c>
      <c r="W29" s="53">
        <f t="shared" si="15"/>
        <v>0</v>
      </c>
      <c r="X29" s="54"/>
      <c r="Y29" s="53">
        <f>$S$29-W29</f>
        <v>1147500</v>
      </c>
      <c r="AA29" s="50">
        <v>0</v>
      </c>
      <c r="AB29" s="53">
        <v>0</v>
      </c>
      <c r="AC29" s="53">
        <f t="shared" si="40"/>
        <v>0</v>
      </c>
      <c r="AD29" s="54"/>
      <c r="AE29" s="53">
        <f>$Y$29-AC29</f>
        <v>1147500</v>
      </c>
      <c r="AF29" s="45"/>
      <c r="AG29" s="50">
        <v>0</v>
      </c>
      <c r="AH29" s="53">
        <f t="shared" si="41"/>
        <v>0</v>
      </c>
      <c r="AI29" s="53">
        <f t="shared" si="42"/>
        <v>0</v>
      </c>
      <c r="AJ29" s="55"/>
      <c r="AK29" s="53">
        <f t="shared" si="7"/>
        <v>1147500</v>
      </c>
      <c r="AL29" s="50">
        <v>0</v>
      </c>
      <c r="AM29" s="53">
        <f t="shared" si="43"/>
        <v>0</v>
      </c>
      <c r="AN29" s="53">
        <f t="shared" si="44"/>
        <v>0</v>
      </c>
      <c r="AO29" s="55"/>
      <c r="AP29" s="53">
        <f t="shared" si="0"/>
        <v>1147500</v>
      </c>
      <c r="AQ29" s="45"/>
      <c r="AR29" s="50">
        <v>0</v>
      </c>
      <c r="AS29" s="53">
        <f t="shared" si="45"/>
        <v>0</v>
      </c>
      <c r="AT29" s="53">
        <f t="shared" si="8"/>
        <v>0</v>
      </c>
      <c r="AU29" s="55"/>
      <c r="AV29" s="53">
        <f t="shared" si="9"/>
        <v>1147500</v>
      </c>
      <c r="AW29" s="45"/>
      <c r="AX29" s="53">
        <f t="shared" si="1"/>
        <v>0</v>
      </c>
      <c r="AY29" s="53">
        <f t="shared" si="2"/>
        <v>1147500</v>
      </c>
      <c r="AZ29" s="53">
        <f t="shared" si="3"/>
        <v>0</v>
      </c>
      <c r="BE29" s="50">
        <v>0</v>
      </c>
      <c r="BF29" s="51">
        <f t="shared" si="10"/>
        <v>425000</v>
      </c>
      <c r="BG29" s="53">
        <f t="shared" si="46"/>
        <v>0</v>
      </c>
      <c r="BH29" s="50">
        <v>0</v>
      </c>
      <c r="BI29" s="51">
        <f t="shared" si="11"/>
        <v>0</v>
      </c>
      <c r="BK29" s="50">
        <v>0</v>
      </c>
      <c r="BL29" s="53">
        <f t="shared" si="47"/>
        <v>0</v>
      </c>
      <c r="BM29" s="53">
        <f t="shared" si="48"/>
        <v>0</v>
      </c>
      <c r="BO29" s="50">
        <v>0</v>
      </c>
      <c r="BP29" s="53">
        <f t="shared" si="49"/>
        <v>0</v>
      </c>
      <c r="BQ29" s="53">
        <f t="shared" si="50"/>
        <v>0</v>
      </c>
      <c r="CE29" s="50">
        <v>0</v>
      </c>
      <c r="CF29" s="53">
        <f t="shared" si="51"/>
        <v>0</v>
      </c>
      <c r="CG29" s="53">
        <f t="shared" si="52"/>
        <v>0</v>
      </c>
    </row>
    <row r="30" spans="1:97" ht="20.100000000000001" customHeight="1" x14ac:dyDescent="0.25">
      <c r="A30" s="64"/>
      <c r="B30" s="137"/>
      <c r="C30" s="49" t="s">
        <v>99</v>
      </c>
      <c r="D30" s="50">
        <v>1</v>
      </c>
      <c r="E30" s="50">
        <v>2.7</v>
      </c>
      <c r="F30" s="51">
        <v>6500000</v>
      </c>
      <c r="G30" s="51">
        <f t="shared" si="4"/>
        <v>17550000</v>
      </c>
      <c r="H30" s="51">
        <v>0</v>
      </c>
      <c r="I30" s="72">
        <f t="shared" si="25"/>
        <v>0</v>
      </c>
      <c r="J30" s="52"/>
      <c r="K30" s="50">
        <v>1</v>
      </c>
      <c r="L30" s="51">
        <v>18142000</v>
      </c>
      <c r="M30" s="51">
        <f t="shared" si="6"/>
        <v>18142000</v>
      </c>
      <c r="N30" s="52"/>
      <c r="O30" s="50">
        <v>0</v>
      </c>
      <c r="P30" s="53">
        <f t="shared" si="38"/>
        <v>0</v>
      </c>
      <c r="Q30" s="53">
        <f t="shared" si="14"/>
        <v>0</v>
      </c>
      <c r="R30" s="54"/>
      <c r="S30" s="53">
        <f>$G$30-Q30</f>
        <v>17550000</v>
      </c>
      <c r="U30" s="50">
        <v>0</v>
      </c>
      <c r="V30" s="53">
        <f t="shared" si="39"/>
        <v>0</v>
      </c>
      <c r="W30" s="53">
        <f t="shared" si="15"/>
        <v>0</v>
      </c>
      <c r="X30" s="54"/>
      <c r="Y30" s="53">
        <f>$S$30-W30</f>
        <v>17550000</v>
      </c>
      <c r="AA30" s="50">
        <v>0</v>
      </c>
      <c r="AB30" s="53">
        <v>0</v>
      </c>
      <c r="AC30" s="53">
        <f t="shared" si="40"/>
        <v>0</v>
      </c>
      <c r="AD30" s="54"/>
      <c r="AE30" s="53">
        <f>$Y$30-AC30</f>
        <v>17550000</v>
      </c>
      <c r="AF30" s="45"/>
      <c r="AG30" s="50">
        <v>0</v>
      </c>
      <c r="AH30" s="53">
        <f t="shared" si="41"/>
        <v>0</v>
      </c>
      <c r="AI30" s="53">
        <f t="shared" si="42"/>
        <v>0</v>
      </c>
      <c r="AJ30" s="55"/>
      <c r="AK30" s="53">
        <f t="shared" si="7"/>
        <v>17550000</v>
      </c>
      <c r="AL30" s="50">
        <v>0</v>
      </c>
      <c r="AM30" s="53">
        <f t="shared" si="43"/>
        <v>0</v>
      </c>
      <c r="AN30" s="53">
        <f t="shared" si="44"/>
        <v>0</v>
      </c>
      <c r="AO30" s="55"/>
      <c r="AP30" s="53">
        <f t="shared" si="0"/>
        <v>17550000</v>
      </c>
      <c r="AQ30" s="45"/>
      <c r="AR30" s="50">
        <v>0</v>
      </c>
      <c r="AS30" s="53">
        <f t="shared" si="45"/>
        <v>0</v>
      </c>
      <c r="AT30" s="53">
        <f t="shared" si="8"/>
        <v>0</v>
      </c>
      <c r="AU30" s="55"/>
      <c r="AV30" s="53">
        <f t="shared" si="9"/>
        <v>17550000</v>
      </c>
      <c r="AW30" s="45"/>
      <c r="AX30" s="53">
        <f t="shared" si="1"/>
        <v>0</v>
      </c>
      <c r="AY30" s="53">
        <f t="shared" si="2"/>
        <v>17550000</v>
      </c>
      <c r="AZ30" s="53">
        <f t="shared" si="3"/>
        <v>0</v>
      </c>
      <c r="BE30" s="50">
        <v>0</v>
      </c>
      <c r="BF30" s="51">
        <f t="shared" si="10"/>
        <v>6500000</v>
      </c>
      <c r="BG30" s="53">
        <f t="shared" si="46"/>
        <v>0</v>
      </c>
      <c r="BH30" s="50">
        <v>0</v>
      </c>
      <c r="BI30" s="51">
        <f t="shared" si="11"/>
        <v>0</v>
      </c>
      <c r="BK30" s="50">
        <v>0</v>
      </c>
      <c r="BL30" s="53">
        <f t="shared" si="47"/>
        <v>0</v>
      </c>
      <c r="BM30" s="53">
        <f t="shared" si="48"/>
        <v>0</v>
      </c>
      <c r="BO30" s="50">
        <v>0</v>
      </c>
      <c r="BP30" s="53">
        <f t="shared" si="49"/>
        <v>0</v>
      </c>
      <c r="BQ30" s="53">
        <f t="shared" si="50"/>
        <v>0</v>
      </c>
      <c r="CE30" s="50">
        <v>0</v>
      </c>
      <c r="CF30" s="53">
        <f t="shared" si="51"/>
        <v>0</v>
      </c>
      <c r="CG30" s="53">
        <f t="shared" si="52"/>
        <v>0</v>
      </c>
    </row>
    <row r="31" spans="1:97" ht="15.75" thickBot="1" x14ac:dyDescent="0.3">
      <c r="C31" s="40" t="s">
        <v>100</v>
      </c>
      <c r="E31" s="57" t="s">
        <v>101</v>
      </c>
      <c r="F31" s="58"/>
      <c r="G31" s="58">
        <f>SUM(G5:G21)</f>
        <v>468259450.19999999</v>
      </c>
      <c r="H31" s="62"/>
      <c r="I31" s="62"/>
      <c r="J31" s="59"/>
      <c r="L31" s="60"/>
      <c r="M31" s="60">
        <f>SUM(M5:M21)</f>
        <v>132126448</v>
      </c>
      <c r="N31" s="60"/>
      <c r="P31" s="57" t="s">
        <v>101</v>
      </c>
      <c r="Q31" s="58">
        <f>SUM(Q5:Q21)</f>
        <v>90062600</v>
      </c>
      <c r="R31" s="61"/>
      <c r="S31" s="58">
        <f>$G$31-Q31</f>
        <v>378196850.19999999</v>
      </c>
      <c r="V31" s="57" t="s">
        <v>101</v>
      </c>
      <c r="W31" s="58">
        <f>SUM(W5:W21)</f>
        <v>127350800</v>
      </c>
      <c r="X31" s="61"/>
      <c r="Y31" s="58">
        <f>$S$31-W31</f>
        <v>250846050.19999999</v>
      </c>
      <c r="AB31" s="57" t="s">
        <v>101</v>
      </c>
      <c r="AC31" s="58">
        <f>SUM(AC5:AC21)</f>
        <v>126739000</v>
      </c>
      <c r="AD31" s="61"/>
      <c r="AE31" s="58">
        <f>$Y$31-AC31</f>
        <v>124107050.19999999</v>
      </c>
      <c r="AF31" s="62"/>
      <c r="AH31" s="57" t="s">
        <v>101</v>
      </c>
      <c r="AI31" s="58">
        <f>SUM(AI5:AI21)</f>
        <v>132195000</v>
      </c>
      <c r="AJ31" s="63"/>
      <c r="AK31" s="58">
        <f>$AE$31-AI31</f>
        <v>-8087949.8000000119</v>
      </c>
      <c r="AM31" s="57" t="s">
        <v>101</v>
      </c>
      <c r="AN31" s="58">
        <f>SUM(AN5:AN21)</f>
        <v>133409000</v>
      </c>
      <c r="AO31" s="63"/>
      <c r="AP31" s="58">
        <f>$AK$31-AN31</f>
        <v>-141496949.80000001</v>
      </c>
      <c r="AQ31" s="62"/>
      <c r="AS31" s="57" t="s">
        <v>101</v>
      </c>
      <c r="AT31" s="58">
        <f>SUM(AT5:AT21)</f>
        <v>126969000</v>
      </c>
      <c r="AU31" s="63"/>
      <c r="AV31" s="58">
        <f>$AP$31-AT31</f>
        <v>-268465949.80000001</v>
      </c>
      <c r="AW31" s="62"/>
      <c r="AX31" s="58">
        <f t="shared" si="1"/>
        <v>736725400</v>
      </c>
      <c r="AY31" s="58">
        <f>SUM(AY5:AY21)</f>
        <v>-268465949.80000001</v>
      </c>
      <c r="AZ31" s="58">
        <f t="shared" si="3"/>
        <v>736725400</v>
      </c>
      <c r="BF31" s="57" t="s">
        <v>101</v>
      </c>
      <c r="BG31" s="112">
        <f>SUM(BG5:BG21)</f>
        <v>169167352</v>
      </c>
      <c r="BH31" s="114"/>
      <c r="BI31" s="112">
        <f>SUM(BI5:BI21)</f>
        <v>165588600</v>
      </c>
      <c r="BL31" s="57" t="s">
        <v>101</v>
      </c>
      <c r="BM31" s="58">
        <f>SUM(BM5:BM21)</f>
        <v>117511000</v>
      </c>
      <c r="BP31" s="57" t="s">
        <v>101</v>
      </c>
      <c r="BQ31" s="58">
        <f>SUM(BQ5:BQ21)</f>
        <v>106416000</v>
      </c>
      <c r="BY31" s="58"/>
      <c r="BZ31" s="58"/>
      <c r="CF31" s="57" t="s">
        <v>101</v>
      </c>
      <c r="CG31" s="58">
        <f>SUM(CG5:CG21)</f>
        <v>22248500</v>
      </c>
    </row>
    <row r="32" spans="1:97" ht="15.75" thickBot="1" x14ac:dyDescent="0.3">
      <c r="E32" s="57" t="s">
        <v>24</v>
      </c>
      <c r="F32" s="58"/>
      <c r="G32" s="58">
        <f>G31*19%</f>
        <v>88969295.538000003</v>
      </c>
      <c r="H32" s="62"/>
      <c r="I32" s="62"/>
      <c r="J32" s="59"/>
      <c r="L32" s="60"/>
      <c r="M32" s="60">
        <f>M31*19%</f>
        <v>25104025.120000001</v>
      </c>
      <c r="N32" s="60"/>
      <c r="P32" s="57" t="s">
        <v>24</v>
      </c>
      <c r="Q32" s="58">
        <f>Q31*19%</f>
        <v>17111894</v>
      </c>
      <c r="R32" s="61"/>
      <c r="S32" s="58">
        <f>S31*19%</f>
        <v>71857401.538000003</v>
      </c>
      <c r="V32" s="57" t="s">
        <v>24</v>
      </c>
      <c r="W32" s="58">
        <f>W31*19%</f>
        <v>24196652</v>
      </c>
      <c r="X32" s="61"/>
      <c r="Y32" s="58">
        <f>Y31*19%</f>
        <v>47660749.537999995</v>
      </c>
      <c r="AB32" s="57" t="s">
        <v>24</v>
      </c>
      <c r="AC32" s="58">
        <f>AC31*19%</f>
        <v>24080410</v>
      </c>
      <c r="AD32" s="61"/>
      <c r="AE32" s="58">
        <f>AE31*19%</f>
        <v>23580339.537999999</v>
      </c>
      <c r="AF32" s="62"/>
      <c r="AH32" s="57"/>
      <c r="AI32" s="58">
        <f>AI31*19%</f>
        <v>25117050</v>
      </c>
      <c r="AJ32" s="63"/>
      <c r="AK32" s="58">
        <f>AK31*19%</f>
        <v>-1536710.4620000024</v>
      </c>
      <c r="AM32" s="57"/>
      <c r="AN32" s="58">
        <f>AN31*19%</f>
        <v>25347710</v>
      </c>
      <c r="AO32" s="63"/>
      <c r="AP32" s="58">
        <f>AP31*19%</f>
        <v>-26884420.462000001</v>
      </c>
      <c r="AQ32" s="62"/>
      <c r="AS32" s="57"/>
      <c r="AT32" s="58">
        <f>AT31*19%</f>
        <v>24124110</v>
      </c>
      <c r="AU32" s="63"/>
      <c r="AV32" s="58">
        <f>AV31*19%</f>
        <v>-51008530.462000005</v>
      </c>
      <c r="AW32" s="62"/>
      <c r="AX32" s="58">
        <f>AC32+W32+Q32</f>
        <v>65388956</v>
      </c>
      <c r="AY32" s="58">
        <f>G32-AX32</f>
        <v>23580339.538000003</v>
      </c>
      <c r="AZ32" s="58">
        <f>AY32-AE32</f>
        <v>0</v>
      </c>
      <c r="BF32" s="57"/>
      <c r="BG32" s="112">
        <f>BG31*19%</f>
        <v>32141796.879999999</v>
      </c>
      <c r="BH32" s="114"/>
      <c r="BI32" s="112">
        <f>BI31*19%</f>
        <v>31461834</v>
      </c>
      <c r="BL32" s="57"/>
      <c r="BM32" s="58">
        <f>BM31*19%</f>
        <v>22327090</v>
      </c>
      <c r="BP32" s="57"/>
      <c r="BQ32" s="58">
        <f>BQ31*19%</f>
        <v>20219040</v>
      </c>
      <c r="BY32" s="58"/>
      <c r="BZ32" s="58"/>
      <c r="CF32" s="57"/>
      <c r="CG32" s="58">
        <f>CG31*19%</f>
        <v>4227215</v>
      </c>
    </row>
    <row r="33" spans="5:86" ht="15.75" thickBot="1" x14ac:dyDescent="0.3">
      <c r="E33" s="57" t="s">
        <v>102</v>
      </c>
      <c r="F33" s="58"/>
      <c r="G33" s="58">
        <f>G31+G32</f>
        <v>557228745.73800004</v>
      </c>
      <c r="H33" s="62"/>
      <c r="I33" s="62"/>
      <c r="J33" s="59"/>
      <c r="L33" s="60"/>
      <c r="M33" s="60">
        <f>M31+M32</f>
        <v>157230473.12</v>
      </c>
      <c r="N33" s="60"/>
      <c r="P33" s="57" t="s">
        <v>102</v>
      </c>
      <c r="Q33" s="58">
        <f>Q31+Q32</f>
        <v>107174494</v>
      </c>
      <c r="R33" s="61"/>
      <c r="S33" s="58">
        <f>S31+S32</f>
        <v>450054251.73799998</v>
      </c>
      <c r="V33" s="57" t="s">
        <v>102</v>
      </c>
      <c r="W33" s="58">
        <f>W31+W32</f>
        <v>151547452</v>
      </c>
      <c r="X33" s="61"/>
      <c r="Y33" s="58">
        <f>Y31+Y32</f>
        <v>298506799.73799998</v>
      </c>
      <c r="AB33" s="57" t="s">
        <v>102</v>
      </c>
      <c r="AC33" s="58">
        <f>AC31+AC32</f>
        <v>150819410</v>
      </c>
      <c r="AD33" s="61"/>
      <c r="AE33" s="58">
        <f>AE31+AE32</f>
        <v>147687389.73799998</v>
      </c>
      <c r="AF33" s="62"/>
      <c r="AH33" s="57"/>
      <c r="AI33" s="58">
        <f>AI31+AI32</f>
        <v>157312050</v>
      </c>
      <c r="AJ33" s="63"/>
      <c r="AK33" s="58">
        <f>AK31+AK32</f>
        <v>-9624660.262000015</v>
      </c>
      <c r="AM33" s="57"/>
      <c r="AN33" s="58">
        <f>AN31+AN32</f>
        <v>158756710</v>
      </c>
      <c r="AO33" s="63"/>
      <c r="AP33" s="58">
        <f>AP31+AP32</f>
        <v>-168381370.26200002</v>
      </c>
      <c r="AQ33" s="62"/>
      <c r="AS33" s="57"/>
      <c r="AT33" s="58">
        <f>AT31+AT32</f>
        <v>151093110</v>
      </c>
      <c r="AU33" s="63"/>
      <c r="AV33" s="58">
        <f>AV31+AV32</f>
        <v>-319474480.26200002</v>
      </c>
      <c r="AW33" s="62"/>
      <c r="AX33" s="58">
        <f>AC33+W33+Q33+AI33+AN33+AT33</f>
        <v>876703226</v>
      </c>
      <c r="AY33" s="58">
        <f>G33-AX33</f>
        <v>-319474480.26199996</v>
      </c>
      <c r="AZ33" s="58">
        <f>AY33-AE33</f>
        <v>-467161869.99999994</v>
      </c>
      <c r="BF33" s="57"/>
      <c r="BG33" s="112">
        <f>BG31+BG32</f>
        <v>201309148.88</v>
      </c>
      <c r="BH33" s="114"/>
      <c r="BI33" s="112">
        <f>BI31+BI32</f>
        <v>197050434</v>
      </c>
      <c r="BL33" s="57"/>
      <c r="BM33" s="58">
        <f>BM31+BM32</f>
        <v>139838090</v>
      </c>
      <c r="BP33" s="57"/>
      <c r="BQ33" s="58">
        <f>BQ31+BQ32</f>
        <v>126635040</v>
      </c>
      <c r="BY33" s="58"/>
      <c r="BZ33" s="58"/>
      <c r="CF33" s="57"/>
      <c r="CG33" s="58">
        <f>CG31+CG32</f>
        <v>26475715</v>
      </c>
      <c r="CH33" s="6"/>
    </row>
  </sheetData>
  <mergeCells count="67">
    <mergeCell ref="BE1:BI1"/>
    <mergeCell ref="BK1:BM1"/>
    <mergeCell ref="BO2:BQ2"/>
    <mergeCell ref="BO3:BO4"/>
    <mergeCell ref="BP3:BP4"/>
    <mergeCell ref="BQ3:BQ4"/>
    <mergeCell ref="CE3:CE4"/>
    <mergeCell ref="CF3:CF4"/>
    <mergeCell ref="CG3:CG4"/>
    <mergeCell ref="BE2:BI2"/>
    <mergeCell ref="BE3:BE4"/>
    <mergeCell ref="BF3:BF4"/>
    <mergeCell ref="BG3:BG4"/>
    <mergeCell ref="BK2:BM2"/>
    <mergeCell ref="BK3:BK4"/>
    <mergeCell ref="BL3:BL4"/>
    <mergeCell ref="BM3:BM4"/>
    <mergeCell ref="BH3:BH4"/>
    <mergeCell ref="BI3:BI4"/>
    <mergeCell ref="B22:B30"/>
    <mergeCell ref="AT3:AT4"/>
    <mergeCell ref="U3:U4"/>
    <mergeCell ref="V3:V4"/>
    <mergeCell ref="W3:W4"/>
    <mergeCell ref="Y3:Y4"/>
    <mergeCell ref="AA3:AA4"/>
    <mergeCell ref="AB3:AB4"/>
    <mergeCell ref="M3:M4"/>
    <mergeCell ref="O3:O4"/>
    <mergeCell ref="S3:S4"/>
    <mergeCell ref="B11:B17"/>
    <mergeCell ref="B18:B21"/>
    <mergeCell ref="AL3:AL4"/>
    <mergeCell ref="AM3:AM4"/>
    <mergeCell ref="AK3:AK4"/>
    <mergeCell ref="B5:B8"/>
    <mergeCell ref="B9:B10"/>
    <mergeCell ref="AR3:AR4"/>
    <mergeCell ref="AS3:AS4"/>
    <mergeCell ref="AX2:AY2"/>
    <mergeCell ref="O2:Q2"/>
    <mergeCell ref="U2:W2"/>
    <mergeCell ref="AA2:AC2"/>
    <mergeCell ref="AG2:AI2"/>
    <mergeCell ref="AE3:AE4"/>
    <mergeCell ref="AG3:AG4"/>
    <mergeCell ref="AV3:AV4"/>
    <mergeCell ref="AX3:AX4"/>
    <mergeCell ref="AY3:AY4"/>
    <mergeCell ref="AN3:AN4"/>
    <mergeCell ref="AP3:AP4"/>
    <mergeCell ref="H3:H4"/>
    <mergeCell ref="I3:I4"/>
    <mergeCell ref="CE1:CG1"/>
    <mergeCell ref="AH3:AH4"/>
    <mergeCell ref="A3:A4"/>
    <mergeCell ref="B3:B4"/>
    <mergeCell ref="C3:C4"/>
    <mergeCell ref="AC3:AC4"/>
    <mergeCell ref="K3:K4"/>
    <mergeCell ref="P3:P4"/>
    <mergeCell ref="Q3:Q4"/>
    <mergeCell ref="AL2:AN2"/>
    <mergeCell ref="AR2:AT2"/>
    <mergeCell ref="AZ3:AZ4"/>
    <mergeCell ref="AI3:AI4"/>
    <mergeCell ref="CE2:C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28049-DED5-4184-89C2-904CC468F46C}">
  <dimension ref="B1:M20"/>
  <sheetViews>
    <sheetView showGridLines="0" topLeftCell="B3" zoomScale="85" zoomScaleNormal="85" workbookViewId="0">
      <selection activeCell="I6" sqref="I6"/>
    </sheetView>
  </sheetViews>
  <sheetFormatPr baseColWidth="10" defaultRowHeight="15" x14ac:dyDescent="0.25"/>
  <cols>
    <col min="2" max="2" width="19.28515625" bestFit="1" customWidth="1"/>
    <col min="3" max="3" width="30" customWidth="1"/>
    <col min="5" max="5" width="15" bestFit="1" customWidth="1"/>
    <col min="6" max="6" width="15.140625" bestFit="1" customWidth="1"/>
    <col min="7" max="8" width="15.140625" customWidth="1"/>
    <col min="9" max="9" width="16.85546875" bestFit="1" customWidth="1"/>
    <col min="10" max="10" width="16.140625" bestFit="1" customWidth="1"/>
    <col min="13" max="13" width="12.28515625" bestFit="1" customWidth="1"/>
  </cols>
  <sheetData>
    <row r="1" spans="2:13" x14ac:dyDescent="0.25">
      <c r="D1" s="124" t="s">
        <v>42</v>
      </c>
      <c r="E1" s="124"/>
      <c r="F1" s="124"/>
      <c r="G1" s="81"/>
      <c r="H1" s="81"/>
    </row>
    <row r="2" spans="2:13" x14ac:dyDescent="0.25">
      <c r="D2" s="133" t="s">
        <v>54</v>
      </c>
      <c r="E2" s="133"/>
      <c r="F2" s="133"/>
      <c r="G2" s="93"/>
      <c r="H2" s="93"/>
    </row>
    <row r="3" spans="2:13" x14ac:dyDescent="0.25">
      <c r="D3" s="140" t="s">
        <v>64</v>
      </c>
      <c r="E3" s="140" t="s">
        <v>65</v>
      </c>
      <c r="F3" s="82"/>
      <c r="G3" s="82"/>
      <c r="H3" s="82"/>
      <c r="I3" s="140" t="s">
        <v>60</v>
      </c>
    </row>
    <row r="4" spans="2:13" x14ac:dyDescent="0.25">
      <c r="D4" s="145"/>
      <c r="E4" s="145"/>
      <c r="F4" s="97" t="s">
        <v>129</v>
      </c>
      <c r="G4" s="97" t="s">
        <v>130</v>
      </c>
      <c r="H4" s="97"/>
      <c r="I4" s="145"/>
    </row>
    <row r="5" spans="2:13" x14ac:dyDescent="0.25">
      <c r="B5" t="s">
        <v>127</v>
      </c>
      <c r="C5" t="s">
        <v>128</v>
      </c>
      <c r="D5" s="98">
        <v>3</v>
      </c>
      <c r="E5" s="99">
        <v>7975000</v>
      </c>
      <c r="F5" s="99">
        <f>E5/30</f>
        <v>265833.33333333331</v>
      </c>
      <c r="G5" s="100">
        <v>17</v>
      </c>
      <c r="H5" s="1"/>
      <c r="I5" s="101">
        <f>G5*F5*D5</f>
        <v>13557499.999999998</v>
      </c>
    </row>
    <row r="6" spans="2:13" x14ac:dyDescent="0.25">
      <c r="D6" s="98">
        <v>0.4</v>
      </c>
      <c r="E6" s="99">
        <v>8250000</v>
      </c>
      <c r="F6" s="99">
        <f>E6/30</f>
        <v>275000</v>
      </c>
      <c r="G6" s="100">
        <v>5</v>
      </c>
      <c r="H6" s="1"/>
      <c r="I6" s="101">
        <f>E6*D6</f>
        <v>3300000</v>
      </c>
    </row>
    <row r="7" spans="2:13" ht="15.75" thickBot="1" x14ac:dyDescent="0.3">
      <c r="F7" s="92"/>
      <c r="G7" s="92"/>
      <c r="H7" s="57" t="s">
        <v>101</v>
      </c>
      <c r="I7" s="58">
        <f>SUM(I5:I6)</f>
        <v>16857500</v>
      </c>
    </row>
    <row r="8" spans="2:13" ht="15.75" thickBot="1" x14ac:dyDescent="0.3">
      <c r="F8" s="92"/>
      <c r="G8" s="92"/>
      <c r="H8" s="57" t="s">
        <v>24</v>
      </c>
      <c r="I8" s="58">
        <f>I7*19%</f>
        <v>3202925</v>
      </c>
    </row>
    <row r="9" spans="2:13" ht="15.75" thickBot="1" x14ac:dyDescent="0.3">
      <c r="F9" s="92"/>
      <c r="G9" s="92"/>
      <c r="H9" s="57" t="s">
        <v>102</v>
      </c>
      <c r="I9" s="62">
        <f>SUM(I7:I8)</f>
        <v>20060425</v>
      </c>
      <c r="K9" s="79">
        <f>I6/K10</f>
        <v>0.4</v>
      </c>
    </row>
    <row r="10" spans="2:13" ht="30.75" thickBot="1" x14ac:dyDescent="0.3">
      <c r="B10" s="102" t="s">
        <v>140</v>
      </c>
      <c r="K10" s="51">
        <v>8250000</v>
      </c>
      <c r="L10" s="60">
        <f>K10/30</f>
        <v>275000</v>
      </c>
      <c r="M10" s="60">
        <f>L10*10</f>
        <v>2750000</v>
      </c>
    </row>
    <row r="11" spans="2:13" ht="29.1" customHeight="1" x14ac:dyDescent="0.25">
      <c r="B11" s="102" t="s">
        <v>141</v>
      </c>
      <c r="E11" s="110" t="s">
        <v>74</v>
      </c>
      <c r="F11" s="88" t="s">
        <v>76</v>
      </c>
      <c r="G11" s="107">
        <v>1</v>
      </c>
      <c r="H11" s="90">
        <v>282000</v>
      </c>
      <c r="I11" s="85">
        <f>H11*G11</f>
        <v>282000</v>
      </c>
      <c r="J11" s="94"/>
      <c r="K11" s="94"/>
      <c r="M11">
        <f>M10/K10</f>
        <v>0.33333333333333331</v>
      </c>
    </row>
    <row r="12" spans="2:13" ht="45" x14ac:dyDescent="0.25">
      <c r="B12" s="102" t="s">
        <v>142</v>
      </c>
      <c r="E12" s="142" t="s">
        <v>77</v>
      </c>
      <c r="F12" s="49" t="s">
        <v>79</v>
      </c>
      <c r="G12" s="108">
        <v>0.5</v>
      </c>
      <c r="H12" s="105">
        <v>460000</v>
      </c>
      <c r="I12" s="106">
        <f>H12*G12</f>
        <v>230000</v>
      </c>
      <c r="J12" s="94"/>
      <c r="K12" s="94"/>
    </row>
    <row r="13" spans="2:13" ht="45" x14ac:dyDescent="0.25">
      <c r="B13" s="102" t="s">
        <v>143</v>
      </c>
      <c r="E13" s="143"/>
      <c r="F13" s="49" t="s">
        <v>78</v>
      </c>
      <c r="G13" s="98">
        <v>14</v>
      </c>
      <c r="H13" s="2">
        <v>37000</v>
      </c>
      <c r="I13" s="86">
        <f>H13*G13</f>
        <v>518000</v>
      </c>
      <c r="J13" s="94"/>
      <c r="K13" s="94"/>
    </row>
    <row r="14" spans="2:13" ht="33.75" x14ac:dyDescent="0.25">
      <c r="E14" s="143"/>
      <c r="F14" s="49" t="s">
        <v>80</v>
      </c>
      <c r="G14" s="98">
        <v>1</v>
      </c>
      <c r="H14" s="2">
        <v>4363000</v>
      </c>
      <c r="I14" s="86">
        <f>H14*G14</f>
        <v>4363000</v>
      </c>
      <c r="J14" s="94"/>
      <c r="K14" s="94"/>
    </row>
    <row r="15" spans="2:13" ht="15.75" thickBot="1" x14ac:dyDescent="0.3">
      <c r="E15" s="144"/>
      <c r="F15" s="89" t="s">
        <v>84</v>
      </c>
      <c r="G15" s="109">
        <v>1</v>
      </c>
      <c r="H15" s="91">
        <v>80000</v>
      </c>
      <c r="I15" s="87">
        <f>H15*G15</f>
        <v>80000</v>
      </c>
      <c r="J15" s="94"/>
      <c r="K15" s="94"/>
    </row>
    <row r="16" spans="2:13" ht="15.75" thickBot="1" x14ac:dyDescent="0.3">
      <c r="H16" s="57" t="s">
        <v>101</v>
      </c>
      <c r="I16" s="58">
        <f>SUM(I11:I15)</f>
        <v>5473000</v>
      </c>
      <c r="J16" s="94"/>
      <c r="K16" s="94"/>
    </row>
    <row r="17" spans="8:11" ht="15.75" thickBot="1" x14ac:dyDescent="0.3">
      <c r="H17" s="57" t="s">
        <v>24</v>
      </c>
      <c r="I17" s="58">
        <f>I16*19%</f>
        <v>1039870</v>
      </c>
      <c r="J17" s="94"/>
      <c r="K17" s="94"/>
    </row>
    <row r="18" spans="8:11" ht="15.75" thickBot="1" x14ac:dyDescent="0.3">
      <c r="H18" s="57" t="s">
        <v>102</v>
      </c>
      <c r="I18" s="58">
        <f>I16+I17</f>
        <v>6512870</v>
      </c>
      <c r="J18" s="94"/>
      <c r="K18" s="94"/>
    </row>
    <row r="20" spans="8:11" x14ac:dyDescent="0.25">
      <c r="I20" s="95">
        <f>I18+I9</f>
        <v>26573295</v>
      </c>
    </row>
  </sheetData>
  <mergeCells count="6">
    <mergeCell ref="E12:E15"/>
    <mergeCell ref="I3:I4"/>
    <mergeCell ref="D1:F1"/>
    <mergeCell ref="D2:F2"/>
    <mergeCell ref="D3:D4"/>
    <mergeCell ref="E3:E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27"/>
  <sheetViews>
    <sheetView showGridLines="0" topLeftCell="A6" zoomScale="80" zoomScaleNormal="80" workbookViewId="0">
      <selection activeCell="D17" sqref="D17"/>
    </sheetView>
  </sheetViews>
  <sheetFormatPr baseColWidth="10" defaultColWidth="11.42578125" defaultRowHeight="15" x14ac:dyDescent="0.25"/>
  <cols>
    <col min="1" max="1" width="6.42578125" customWidth="1"/>
    <col min="2" max="2" width="16.42578125" bestFit="1" customWidth="1"/>
    <col min="3" max="3" width="34.42578125" bestFit="1" customWidth="1"/>
    <col min="4" max="4" width="19.42578125" customWidth="1"/>
    <col min="5" max="5" width="19.28515625" bestFit="1" customWidth="1"/>
    <col min="6" max="6" width="18.85546875" bestFit="1" customWidth="1"/>
    <col min="7" max="7" width="16.140625" customWidth="1"/>
    <col min="8" max="8" width="24.85546875" customWidth="1"/>
    <col min="9" max="9" width="16.140625" customWidth="1"/>
  </cols>
  <sheetData>
    <row r="2" spans="2:9" ht="35.25" customHeight="1" x14ac:dyDescent="0.25">
      <c r="C2" s="35" t="s">
        <v>18</v>
      </c>
      <c r="D2" s="35"/>
      <c r="E2" s="9" t="s">
        <v>19</v>
      </c>
      <c r="F2" s="10"/>
    </row>
    <row r="3" spans="2:9" x14ac:dyDescent="0.25">
      <c r="C3" s="12" t="s">
        <v>20</v>
      </c>
      <c r="E3" s="9" t="s">
        <v>21</v>
      </c>
      <c r="F3" s="10">
        <v>45287</v>
      </c>
    </row>
    <row r="4" spans="2:9" x14ac:dyDescent="0.25">
      <c r="C4" s="11"/>
      <c r="E4" s="9" t="s">
        <v>22</v>
      </c>
      <c r="F4" s="10">
        <v>45050</v>
      </c>
    </row>
    <row r="7" spans="2:9" x14ac:dyDescent="0.25">
      <c r="C7" s="1"/>
      <c r="D7" s="38" t="s">
        <v>23</v>
      </c>
      <c r="E7" s="38" t="s">
        <v>24</v>
      </c>
      <c r="F7" s="38" t="s">
        <v>25</v>
      </c>
    </row>
    <row r="8" spans="2:9" x14ac:dyDescent="0.25">
      <c r="C8" s="39" t="s">
        <v>26</v>
      </c>
      <c r="D8" s="2">
        <v>743498554</v>
      </c>
      <c r="E8" s="2">
        <f>D8*0.19</f>
        <v>141264725.25999999</v>
      </c>
      <c r="F8" s="2">
        <f>SUM(D8:E8)</f>
        <v>884763279.25999999</v>
      </c>
    </row>
    <row r="9" spans="2:9" x14ac:dyDescent="0.25">
      <c r="C9" s="39" t="s">
        <v>27</v>
      </c>
      <c r="D9" s="5">
        <f>F9/1.19</f>
        <v>367927868.90756303</v>
      </c>
      <c r="E9" s="2">
        <f>D9*0.19</f>
        <v>69906295.092436969</v>
      </c>
      <c r="F9" s="2">
        <v>437834164</v>
      </c>
      <c r="G9" t="s">
        <v>110</v>
      </c>
    </row>
    <row r="10" spans="2:9" x14ac:dyDescent="0.25">
      <c r="C10" s="39" t="s">
        <v>28</v>
      </c>
      <c r="D10" s="1"/>
      <c r="E10" s="1"/>
      <c r="F10" s="8">
        <f>+F9+F8</f>
        <v>1322597443.26</v>
      </c>
      <c r="G10" s="6"/>
      <c r="H10" s="6"/>
    </row>
    <row r="11" spans="2:9" x14ac:dyDescent="0.25">
      <c r="C11" s="7"/>
      <c r="D11" s="7"/>
    </row>
    <row r="12" spans="2:9" x14ac:dyDescent="0.25">
      <c r="G12" s="6"/>
    </row>
    <row r="13" spans="2:9" s="3" customFormat="1" x14ac:dyDescent="0.25">
      <c r="B13" s="36" t="s">
        <v>29</v>
      </c>
      <c r="C13" s="36" t="s">
        <v>30</v>
      </c>
      <c r="D13" s="37" t="s">
        <v>31</v>
      </c>
      <c r="E13" s="37" t="s">
        <v>32</v>
      </c>
      <c r="F13" s="38" t="s">
        <v>33</v>
      </c>
      <c r="I13" s="3" t="s">
        <v>139</v>
      </c>
    </row>
    <row r="14" spans="2:9" s="3" customFormat="1" x14ac:dyDescent="0.25">
      <c r="B14" s="1" t="s">
        <v>34</v>
      </c>
      <c r="C14" s="1" t="s">
        <v>35</v>
      </c>
      <c r="D14" s="5">
        <v>90062600</v>
      </c>
      <c r="E14" s="2">
        <f>D14*0.19</f>
        <v>17111894</v>
      </c>
      <c r="F14" s="5">
        <f>D14+E14</f>
        <v>107174494</v>
      </c>
    </row>
    <row r="15" spans="2:9" x14ac:dyDescent="0.25">
      <c r="B15" s="1" t="s">
        <v>36</v>
      </c>
      <c r="C15" s="1" t="s">
        <v>37</v>
      </c>
      <c r="D15" s="5">
        <v>127350800</v>
      </c>
      <c r="E15" s="2">
        <f>D15*0.19</f>
        <v>24196652</v>
      </c>
      <c r="F15" s="5">
        <f>D15+E15</f>
        <v>151547452</v>
      </c>
    </row>
    <row r="16" spans="2:9" x14ac:dyDescent="0.25">
      <c r="B16" s="1" t="s">
        <v>38</v>
      </c>
      <c r="C16" s="1" t="s">
        <v>39</v>
      </c>
      <c r="D16" s="5">
        <v>126739000</v>
      </c>
      <c r="E16" s="2">
        <f t="shared" ref="E16" si="0">D16*0.19</f>
        <v>24080410</v>
      </c>
      <c r="F16" s="5">
        <f t="shared" ref="F16" si="1">D16+E16</f>
        <v>150819410</v>
      </c>
    </row>
    <row r="17" spans="2:8" x14ac:dyDescent="0.25">
      <c r="B17" s="1" t="s">
        <v>105</v>
      </c>
      <c r="C17" s="1" t="s">
        <v>40</v>
      </c>
      <c r="D17" s="5">
        <v>131965000</v>
      </c>
      <c r="E17" s="67">
        <f>D17*0.19</f>
        <v>25073350</v>
      </c>
      <c r="F17" s="5">
        <f>D17+E17</f>
        <v>157038350</v>
      </c>
      <c r="G17" s="6"/>
    </row>
    <row r="18" spans="2:8" x14ac:dyDescent="0.25">
      <c r="B18" s="1" t="s">
        <v>106</v>
      </c>
      <c r="C18" s="1" t="s">
        <v>41</v>
      </c>
      <c r="D18" s="5">
        <f>'Control fac_Calma'!AN31</f>
        <v>133409000</v>
      </c>
      <c r="E18" s="2">
        <f>D18*0.19</f>
        <v>25347710</v>
      </c>
      <c r="F18" s="5">
        <f>D18+E18</f>
        <v>158756710</v>
      </c>
    </row>
    <row r="19" spans="2:8" x14ac:dyDescent="0.25">
      <c r="C19" s="1" t="s">
        <v>107</v>
      </c>
      <c r="D19" s="5">
        <f>'Control fac_Calma'!AT31</f>
        <v>126969000</v>
      </c>
      <c r="E19" s="2">
        <f t="shared" ref="E19:E20" si="2">D19*0.19</f>
        <v>24124110</v>
      </c>
      <c r="F19" s="5">
        <f t="shared" ref="F19:F20" si="3">D19+E19</f>
        <v>151093110</v>
      </c>
      <c r="G19" s="6"/>
      <c r="H19" s="6"/>
    </row>
    <row r="20" spans="2:8" x14ac:dyDescent="0.25">
      <c r="C20" s="1" t="s">
        <v>108</v>
      </c>
      <c r="D20" s="5">
        <f>'Control fac_Calma'!BG31</f>
        <v>169167352</v>
      </c>
      <c r="E20" s="2">
        <f t="shared" si="2"/>
        <v>32141796.879999999</v>
      </c>
      <c r="F20" s="5">
        <f t="shared" si="3"/>
        <v>201309148.88</v>
      </c>
    </row>
    <row r="21" spans="2:8" x14ac:dyDescent="0.25">
      <c r="C21" s="1" t="s">
        <v>109</v>
      </c>
      <c r="D21" s="77">
        <f>'Control fac_Calma'!BM31</f>
        <v>117511000</v>
      </c>
      <c r="E21" s="2">
        <f t="shared" ref="E21:E22" si="4">D21*0.19</f>
        <v>22327090</v>
      </c>
      <c r="F21" s="5">
        <f t="shared" ref="F21:F22" si="5">D21+E21</f>
        <v>139838090</v>
      </c>
    </row>
    <row r="22" spans="2:8" x14ac:dyDescent="0.25">
      <c r="C22" s="78" t="s">
        <v>132</v>
      </c>
      <c r="D22" s="77">
        <f>'Control fac_Calma'!BQ31</f>
        <v>106416000</v>
      </c>
      <c r="E22" s="2">
        <f t="shared" si="4"/>
        <v>20219040</v>
      </c>
      <c r="F22" s="5">
        <f t="shared" si="5"/>
        <v>126635040</v>
      </c>
    </row>
    <row r="23" spans="2:8" x14ac:dyDescent="0.25">
      <c r="C23" s="146" t="s">
        <v>131</v>
      </c>
      <c r="D23" s="146"/>
      <c r="E23" s="146"/>
      <c r="F23" s="65">
        <f>SUM(F14:F22)</f>
        <v>1344211804.8800001</v>
      </c>
    </row>
    <row r="24" spans="2:8" x14ac:dyDescent="0.25">
      <c r="C24" s="141" t="s">
        <v>133</v>
      </c>
      <c r="D24" s="141"/>
      <c r="E24" s="141"/>
      <c r="F24" s="96">
        <f>F10-F23</f>
        <v>-21614361.620000124</v>
      </c>
    </row>
    <row r="25" spans="2:8" x14ac:dyDescent="0.25">
      <c r="F25" s="96"/>
    </row>
    <row r="26" spans="2:8" x14ac:dyDescent="0.25">
      <c r="C26" s="78" t="s">
        <v>138</v>
      </c>
      <c r="D26" s="5">
        <f>Hoja4!I7+Hoja4!I16</f>
        <v>22330500</v>
      </c>
      <c r="E26" s="2">
        <f t="shared" ref="E26" si="6">D26*0.19</f>
        <v>4242795</v>
      </c>
      <c r="F26" s="5">
        <f t="shared" ref="F26" si="7">D26+E26</f>
        <v>26573295</v>
      </c>
    </row>
    <row r="27" spans="2:8" x14ac:dyDescent="0.25">
      <c r="F27" s="96">
        <f>F24-F26</f>
        <v>-48187656.620000124</v>
      </c>
    </row>
  </sheetData>
  <mergeCells count="2">
    <mergeCell ref="C23:E23"/>
    <mergeCell ref="C24:E24"/>
  </mergeCells>
  <phoneticPr fontId="4" type="noConversion"/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1F67-C8ED-4433-A27E-5E99F7FFC1ED}">
  <dimension ref="A1:BX20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Q6" sqref="Q6"/>
    </sheetView>
  </sheetViews>
  <sheetFormatPr baseColWidth="10" defaultRowHeight="15" x14ac:dyDescent="0.25"/>
  <cols>
    <col min="3" max="3" width="27" bestFit="1" customWidth="1"/>
    <col min="4" max="4" width="5.42578125" hidden="1" customWidth="1"/>
    <col min="5" max="5" width="6.42578125" hidden="1" customWidth="1"/>
    <col min="6" max="6" width="8.85546875" hidden="1" customWidth="1"/>
    <col min="7" max="7" width="6.140625" hidden="1" customWidth="1"/>
    <col min="8" max="9" width="6.85546875" hidden="1" customWidth="1"/>
    <col min="10" max="10" width="8.140625" hidden="1" customWidth="1"/>
    <col min="11" max="11" width="5.42578125" hidden="1" customWidth="1"/>
    <col min="12" max="12" width="6.42578125" hidden="1" customWidth="1"/>
    <col min="13" max="13" width="8.85546875" hidden="1" customWidth="1"/>
    <col min="14" max="14" width="6.140625" hidden="1" customWidth="1"/>
    <col min="15" max="16" width="6.85546875" customWidth="1"/>
    <col min="17" max="17" width="8.140625" customWidth="1"/>
    <col min="18" max="18" width="5.42578125" customWidth="1"/>
    <col min="19" max="19" width="6.42578125" customWidth="1"/>
    <col min="20" max="20" width="8.85546875" bestFit="1" customWidth="1"/>
    <col min="21" max="21" width="6.140625" bestFit="1" customWidth="1"/>
    <col min="22" max="23" width="6.85546875" bestFit="1" customWidth="1"/>
    <col min="24" max="24" width="8.140625" bestFit="1" customWidth="1"/>
    <col min="25" max="25" width="5.42578125" bestFit="1" customWidth="1"/>
    <col min="26" max="26" width="6.42578125" bestFit="1" customWidth="1"/>
    <col min="27" max="27" width="8.85546875" bestFit="1" customWidth="1"/>
    <col min="28" max="28" width="6.140625" bestFit="1" customWidth="1"/>
    <col min="29" max="30" width="6.85546875" bestFit="1" customWidth="1"/>
    <col min="31" max="31" width="8.140625" bestFit="1" customWidth="1"/>
    <col min="32" max="32" width="5.42578125" bestFit="1" customWidth="1"/>
    <col min="33" max="33" width="6.42578125" bestFit="1" customWidth="1"/>
    <col min="34" max="34" width="8.85546875" bestFit="1" customWidth="1"/>
    <col min="35" max="35" width="6.140625" bestFit="1" customWidth="1"/>
    <col min="36" max="37" width="6.85546875" bestFit="1" customWidth="1"/>
    <col min="38" max="38" width="8.140625" bestFit="1" customWidth="1"/>
    <col min="39" max="39" width="5.42578125" bestFit="1" customWidth="1"/>
    <col min="40" max="40" width="6.42578125" bestFit="1" customWidth="1"/>
    <col min="41" max="41" width="8.85546875" bestFit="1" customWidth="1"/>
    <col min="42" max="42" width="6.140625" bestFit="1" customWidth="1"/>
    <col min="43" max="44" width="6.85546875" bestFit="1" customWidth="1"/>
    <col min="45" max="45" width="8.140625" bestFit="1" customWidth="1"/>
    <col min="46" max="46" width="5.42578125" bestFit="1" customWidth="1"/>
    <col min="47" max="47" width="6.42578125" bestFit="1" customWidth="1"/>
    <col min="48" max="48" width="8.85546875" bestFit="1" customWidth="1"/>
    <col min="49" max="49" width="6.140625" bestFit="1" customWidth="1"/>
    <col min="50" max="51" width="6.85546875" bestFit="1" customWidth="1"/>
    <col min="52" max="52" width="8.140625" bestFit="1" customWidth="1"/>
    <col min="53" max="53" width="5.42578125" bestFit="1" customWidth="1"/>
    <col min="54" max="54" width="6.42578125" bestFit="1" customWidth="1"/>
    <col min="55" max="55" width="8.85546875" bestFit="1" customWidth="1"/>
    <col min="56" max="56" width="6.140625" bestFit="1" customWidth="1"/>
    <col min="57" max="58" width="6.85546875" bestFit="1" customWidth="1"/>
    <col min="59" max="59" width="8.140625" bestFit="1" customWidth="1"/>
    <col min="60" max="60" width="5.42578125" bestFit="1" customWidth="1"/>
    <col min="61" max="61" width="6.42578125" bestFit="1" customWidth="1"/>
    <col min="62" max="62" width="8.85546875" bestFit="1" customWidth="1"/>
    <col min="63" max="63" width="6.140625" bestFit="1" customWidth="1"/>
    <col min="64" max="65" width="6.85546875" bestFit="1" customWidth="1"/>
    <col min="66" max="66" width="8.140625" bestFit="1" customWidth="1"/>
    <col min="67" max="67" width="5.42578125" bestFit="1" customWidth="1"/>
    <col min="68" max="68" width="6.42578125" bestFit="1" customWidth="1"/>
    <col min="69" max="69" width="8.85546875" bestFit="1" customWidth="1"/>
    <col min="70" max="70" width="6.140625" bestFit="1" customWidth="1"/>
    <col min="71" max="72" width="6.85546875" bestFit="1" customWidth="1"/>
    <col min="73" max="73" width="8.140625" bestFit="1" customWidth="1"/>
    <col min="74" max="74" width="5.42578125" bestFit="1" customWidth="1"/>
    <col min="75" max="75" width="6.42578125" bestFit="1" customWidth="1"/>
    <col min="76" max="76" width="8.85546875" bestFit="1" customWidth="1"/>
  </cols>
  <sheetData>
    <row r="1" spans="1:76" x14ac:dyDescent="0.25">
      <c r="D1" t="str">
        <f>TEXT(D2,"dddd")</f>
        <v>lunes</v>
      </c>
      <c r="E1" t="str">
        <f t="shared" ref="E1:K1" si="0">TEXT(E2,"dddd")</f>
        <v>martes</v>
      </c>
      <c r="F1" t="str">
        <f t="shared" si="0"/>
        <v>miércoles</v>
      </c>
      <c r="G1" t="str">
        <f t="shared" si="0"/>
        <v>jueves</v>
      </c>
      <c r="H1" t="str">
        <f t="shared" si="0"/>
        <v>viernes</v>
      </c>
      <c r="I1" t="str">
        <f t="shared" si="0"/>
        <v>sábado</v>
      </c>
      <c r="J1" t="str">
        <f t="shared" si="0"/>
        <v>domingo</v>
      </c>
      <c r="K1" t="str">
        <f t="shared" si="0"/>
        <v>lunes</v>
      </c>
      <c r="L1" t="str">
        <f t="shared" ref="L1" si="1">TEXT(L2,"dddd")</f>
        <v>martes</v>
      </c>
      <c r="M1" t="str">
        <f t="shared" ref="M1" si="2">TEXT(M2,"dddd")</f>
        <v>miércoles</v>
      </c>
      <c r="N1" t="str">
        <f t="shared" ref="N1" si="3">TEXT(N2,"dddd")</f>
        <v>jueves</v>
      </c>
      <c r="O1" t="str">
        <f t="shared" ref="O1" si="4">TEXT(O2,"dddd")</f>
        <v>viernes</v>
      </c>
      <c r="P1" t="str">
        <f t="shared" ref="P1" si="5">TEXT(P2,"dddd")</f>
        <v>sábado</v>
      </c>
      <c r="Q1" t="str">
        <f t="shared" ref="Q1" si="6">TEXT(Q2,"dddd")</f>
        <v>domingo</v>
      </c>
      <c r="R1" t="str">
        <f t="shared" ref="R1" si="7">TEXT(R2,"dddd")</f>
        <v>lunes</v>
      </c>
      <c r="S1" t="str">
        <f t="shared" ref="S1" si="8">TEXT(S2,"dddd")</f>
        <v>martes</v>
      </c>
      <c r="T1" t="str">
        <f t="shared" ref="T1" si="9">TEXT(T2,"dddd")</f>
        <v>miércoles</v>
      </c>
      <c r="U1" t="str">
        <f t="shared" ref="U1" si="10">TEXT(U2,"dddd")</f>
        <v>jueves</v>
      </c>
      <c r="V1" t="str">
        <f t="shared" ref="V1" si="11">TEXT(V2,"dddd")</f>
        <v>viernes</v>
      </c>
      <c r="W1" t="str">
        <f t="shared" ref="W1" si="12">TEXT(W2,"dddd")</f>
        <v>sábado</v>
      </c>
      <c r="X1" t="str">
        <f t="shared" ref="X1" si="13">TEXT(X2,"dddd")</f>
        <v>domingo</v>
      </c>
      <c r="Y1" t="str">
        <f t="shared" ref="Y1" si="14">TEXT(Y2,"dddd")</f>
        <v>lunes</v>
      </c>
      <c r="Z1" t="str">
        <f t="shared" ref="Z1" si="15">TEXT(Z2,"dddd")</f>
        <v>martes</v>
      </c>
      <c r="AA1" t="str">
        <f t="shared" ref="AA1" si="16">TEXT(AA2,"dddd")</f>
        <v>miércoles</v>
      </c>
      <c r="AB1" t="str">
        <f t="shared" ref="AB1" si="17">TEXT(AB2,"dddd")</f>
        <v>jueves</v>
      </c>
      <c r="AC1" t="str">
        <f t="shared" ref="AC1" si="18">TEXT(AC2,"dddd")</f>
        <v>viernes</v>
      </c>
      <c r="AD1" t="str">
        <f t="shared" ref="AD1" si="19">TEXT(AD2,"dddd")</f>
        <v>sábado</v>
      </c>
      <c r="AE1" t="str">
        <f t="shared" ref="AE1" si="20">TEXT(AE2,"dddd")</f>
        <v>domingo</v>
      </c>
      <c r="AF1" t="str">
        <f t="shared" ref="AF1" si="21">TEXT(AF2,"dddd")</f>
        <v>lunes</v>
      </c>
      <c r="AG1" t="str">
        <f t="shared" ref="AG1" si="22">TEXT(AG2,"dddd")</f>
        <v>martes</v>
      </c>
      <c r="AH1" t="str">
        <f t="shared" ref="AH1" si="23">TEXT(AH2,"dddd")</f>
        <v>miércoles</v>
      </c>
      <c r="AI1" t="str">
        <f t="shared" ref="AI1" si="24">TEXT(AI2,"dddd")</f>
        <v>jueves</v>
      </c>
      <c r="AJ1" t="str">
        <f t="shared" ref="AJ1" si="25">TEXT(AJ2,"dddd")</f>
        <v>viernes</v>
      </c>
      <c r="AK1" t="str">
        <f t="shared" ref="AK1" si="26">TEXT(AK2,"dddd")</f>
        <v>sábado</v>
      </c>
      <c r="AL1" t="str">
        <f t="shared" ref="AL1" si="27">TEXT(AL2,"dddd")</f>
        <v>domingo</v>
      </c>
      <c r="AM1" t="str">
        <f t="shared" ref="AM1" si="28">TEXT(AM2,"dddd")</f>
        <v>lunes</v>
      </c>
      <c r="AN1" t="str">
        <f t="shared" ref="AN1" si="29">TEXT(AN2,"dddd")</f>
        <v>martes</v>
      </c>
      <c r="AO1" t="str">
        <f t="shared" ref="AO1" si="30">TEXT(AO2,"dddd")</f>
        <v>miércoles</v>
      </c>
      <c r="AP1" t="str">
        <f t="shared" ref="AP1" si="31">TEXT(AP2,"dddd")</f>
        <v>jueves</v>
      </c>
      <c r="AQ1" t="str">
        <f t="shared" ref="AQ1" si="32">TEXT(AQ2,"dddd")</f>
        <v>viernes</v>
      </c>
      <c r="AR1" t="str">
        <f t="shared" ref="AR1" si="33">TEXT(AR2,"dddd")</f>
        <v>sábado</v>
      </c>
      <c r="AS1" t="str">
        <f t="shared" ref="AS1" si="34">TEXT(AS2,"dddd")</f>
        <v>domingo</v>
      </c>
      <c r="AT1" t="str">
        <f t="shared" ref="AT1" si="35">TEXT(AT2,"dddd")</f>
        <v>lunes</v>
      </c>
      <c r="AU1" t="str">
        <f t="shared" ref="AU1" si="36">TEXT(AU2,"dddd")</f>
        <v>martes</v>
      </c>
      <c r="AV1" t="str">
        <f t="shared" ref="AV1" si="37">TEXT(AV2,"dddd")</f>
        <v>miércoles</v>
      </c>
      <c r="AW1" t="str">
        <f t="shared" ref="AW1" si="38">TEXT(AW2,"dddd")</f>
        <v>jueves</v>
      </c>
      <c r="AX1" t="str">
        <f t="shared" ref="AX1" si="39">TEXT(AX2,"dddd")</f>
        <v>viernes</v>
      </c>
      <c r="AY1" t="str">
        <f t="shared" ref="AY1" si="40">TEXT(AY2,"dddd")</f>
        <v>sábado</v>
      </c>
      <c r="AZ1" t="str">
        <f t="shared" ref="AZ1" si="41">TEXT(AZ2,"dddd")</f>
        <v>domingo</v>
      </c>
      <c r="BA1" t="str">
        <f t="shared" ref="BA1" si="42">TEXT(BA2,"dddd")</f>
        <v>lunes</v>
      </c>
      <c r="BB1" t="str">
        <f t="shared" ref="BB1" si="43">TEXT(BB2,"dddd")</f>
        <v>martes</v>
      </c>
      <c r="BC1" t="str">
        <f t="shared" ref="BC1" si="44">TEXT(BC2,"dddd")</f>
        <v>miércoles</v>
      </c>
      <c r="BD1" t="str">
        <f t="shared" ref="BD1" si="45">TEXT(BD2,"dddd")</f>
        <v>jueves</v>
      </c>
      <c r="BE1" t="str">
        <f t="shared" ref="BE1" si="46">TEXT(BE2,"dddd")</f>
        <v>viernes</v>
      </c>
      <c r="BF1" t="str">
        <f t="shared" ref="BF1" si="47">TEXT(BF2,"dddd")</f>
        <v>sábado</v>
      </c>
      <c r="BG1" t="str">
        <f t="shared" ref="BG1" si="48">TEXT(BG2,"dddd")</f>
        <v>domingo</v>
      </c>
      <c r="BH1" t="str">
        <f t="shared" ref="BH1" si="49">TEXT(BH2,"dddd")</f>
        <v>lunes</v>
      </c>
      <c r="BI1" t="str">
        <f t="shared" ref="BI1" si="50">TEXT(BI2,"dddd")</f>
        <v>martes</v>
      </c>
      <c r="BJ1" t="str">
        <f t="shared" ref="BJ1" si="51">TEXT(BJ2,"dddd")</f>
        <v>miércoles</v>
      </c>
      <c r="BK1" t="str">
        <f t="shared" ref="BK1" si="52">TEXT(BK2,"dddd")</f>
        <v>jueves</v>
      </c>
      <c r="BL1" t="str">
        <f t="shared" ref="BL1" si="53">TEXT(BL2,"dddd")</f>
        <v>viernes</v>
      </c>
      <c r="BM1" t="str">
        <f t="shared" ref="BM1" si="54">TEXT(BM2,"dddd")</f>
        <v>sábado</v>
      </c>
      <c r="BN1" t="str">
        <f t="shared" ref="BN1" si="55">TEXT(BN2,"dddd")</f>
        <v>domingo</v>
      </c>
      <c r="BO1" t="str">
        <f t="shared" ref="BO1" si="56">TEXT(BO2,"dddd")</f>
        <v>lunes</v>
      </c>
      <c r="BP1" t="str">
        <f t="shared" ref="BP1" si="57">TEXT(BP2,"dddd")</f>
        <v>martes</v>
      </c>
      <c r="BQ1" t="str">
        <f t="shared" ref="BQ1" si="58">TEXT(BQ2,"dddd")</f>
        <v>miércoles</v>
      </c>
      <c r="BR1" t="str">
        <f t="shared" ref="BR1" si="59">TEXT(BR2,"dddd")</f>
        <v>jueves</v>
      </c>
      <c r="BS1" t="str">
        <f t="shared" ref="BS1" si="60">TEXT(BS2,"dddd")</f>
        <v>viernes</v>
      </c>
      <c r="BT1" t="str">
        <f t="shared" ref="BT1" si="61">TEXT(BT2,"dddd")</f>
        <v>sábado</v>
      </c>
      <c r="BU1" t="str">
        <f t="shared" ref="BU1" si="62">TEXT(BU2,"dddd")</f>
        <v>domingo</v>
      </c>
      <c r="BV1" t="str">
        <f t="shared" ref="BV1:BX1" si="63">TEXT(BV2,"dddd")</f>
        <v>lunes</v>
      </c>
      <c r="BW1" t="str">
        <f t="shared" si="63"/>
        <v>martes</v>
      </c>
      <c r="BX1" t="str">
        <f t="shared" si="63"/>
        <v>miércoles</v>
      </c>
    </row>
    <row r="2" spans="1:76" x14ac:dyDescent="0.25">
      <c r="C2" s="3"/>
      <c r="D2" s="83">
        <v>45215</v>
      </c>
      <c r="E2" s="83">
        <f>D2+1</f>
        <v>45216</v>
      </c>
      <c r="F2" s="83">
        <f t="shared" ref="F2:AU2" si="64">E2+1</f>
        <v>45217</v>
      </c>
      <c r="G2" s="83">
        <f t="shared" si="64"/>
        <v>45218</v>
      </c>
      <c r="H2" s="83">
        <f t="shared" si="64"/>
        <v>45219</v>
      </c>
      <c r="I2" s="83">
        <f t="shared" si="64"/>
        <v>45220</v>
      </c>
      <c r="J2" s="83">
        <f t="shared" si="64"/>
        <v>45221</v>
      </c>
      <c r="K2" s="83">
        <f t="shared" si="64"/>
        <v>45222</v>
      </c>
      <c r="L2" s="83">
        <f t="shared" si="64"/>
        <v>45223</v>
      </c>
      <c r="M2" s="83">
        <f t="shared" si="64"/>
        <v>45224</v>
      </c>
      <c r="N2" s="83">
        <f t="shared" si="64"/>
        <v>45225</v>
      </c>
      <c r="O2" s="83">
        <f t="shared" si="64"/>
        <v>45226</v>
      </c>
      <c r="P2" s="83">
        <f t="shared" si="64"/>
        <v>45227</v>
      </c>
      <c r="Q2" s="83">
        <f t="shared" si="64"/>
        <v>45228</v>
      </c>
      <c r="R2" s="83">
        <f t="shared" si="64"/>
        <v>45229</v>
      </c>
      <c r="S2" s="83">
        <f t="shared" si="64"/>
        <v>45230</v>
      </c>
      <c r="T2" s="83">
        <f t="shared" si="64"/>
        <v>45231</v>
      </c>
      <c r="U2" s="83">
        <f t="shared" si="64"/>
        <v>45232</v>
      </c>
      <c r="V2" s="83">
        <f t="shared" si="64"/>
        <v>45233</v>
      </c>
      <c r="W2" s="83">
        <f t="shared" si="64"/>
        <v>45234</v>
      </c>
      <c r="X2" s="83">
        <f t="shared" si="64"/>
        <v>45235</v>
      </c>
      <c r="Y2" s="83">
        <f t="shared" si="64"/>
        <v>45236</v>
      </c>
      <c r="Z2" s="83">
        <f t="shared" si="64"/>
        <v>45237</v>
      </c>
      <c r="AA2" s="83">
        <f t="shared" si="64"/>
        <v>45238</v>
      </c>
      <c r="AB2" s="83">
        <f t="shared" si="64"/>
        <v>45239</v>
      </c>
      <c r="AC2" s="83">
        <f t="shared" si="64"/>
        <v>45240</v>
      </c>
      <c r="AD2" s="83">
        <f t="shared" si="64"/>
        <v>45241</v>
      </c>
      <c r="AE2" s="83">
        <f t="shared" si="64"/>
        <v>45242</v>
      </c>
      <c r="AF2" s="83">
        <f t="shared" si="64"/>
        <v>45243</v>
      </c>
      <c r="AG2" s="83">
        <f t="shared" si="64"/>
        <v>45244</v>
      </c>
      <c r="AH2" s="83">
        <f t="shared" si="64"/>
        <v>45245</v>
      </c>
      <c r="AI2" s="83">
        <f t="shared" si="64"/>
        <v>45246</v>
      </c>
      <c r="AJ2" s="83">
        <f t="shared" si="64"/>
        <v>45247</v>
      </c>
      <c r="AK2" s="83">
        <f t="shared" si="64"/>
        <v>45248</v>
      </c>
      <c r="AL2" s="83">
        <f t="shared" si="64"/>
        <v>45249</v>
      </c>
      <c r="AM2" s="83">
        <f t="shared" si="64"/>
        <v>45250</v>
      </c>
      <c r="AN2" s="83">
        <f t="shared" si="64"/>
        <v>45251</v>
      </c>
      <c r="AO2" s="83">
        <f t="shared" si="64"/>
        <v>45252</v>
      </c>
      <c r="AP2" s="83">
        <f t="shared" si="64"/>
        <v>45253</v>
      </c>
      <c r="AQ2" s="83">
        <f t="shared" si="64"/>
        <v>45254</v>
      </c>
      <c r="AR2" s="83">
        <f t="shared" si="64"/>
        <v>45255</v>
      </c>
      <c r="AS2" s="83">
        <f t="shared" si="64"/>
        <v>45256</v>
      </c>
      <c r="AT2" s="83">
        <f t="shared" si="64"/>
        <v>45257</v>
      </c>
      <c r="AU2" s="83">
        <f t="shared" si="64"/>
        <v>45258</v>
      </c>
      <c r="AV2" s="83">
        <f t="shared" ref="AV2:BJ2" si="65">AU2+1</f>
        <v>45259</v>
      </c>
      <c r="AW2" s="83">
        <f t="shared" si="65"/>
        <v>45260</v>
      </c>
      <c r="AX2" s="83">
        <f t="shared" si="65"/>
        <v>45261</v>
      </c>
      <c r="AY2" s="83">
        <f t="shared" si="65"/>
        <v>45262</v>
      </c>
      <c r="AZ2" s="83">
        <f t="shared" si="65"/>
        <v>45263</v>
      </c>
      <c r="BA2" s="83">
        <f t="shared" si="65"/>
        <v>45264</v>
      </c>
      <c r="BB2" s="83">
        <f t="shared" si="65"/>
        <v>45265</v>
      </c>
      <c r="BC2" s="83">
        <f t="shared" si="65"/>
        <v>45266</v>
      </c>
      <c r="BD2" s="83">
        <f t="shared" si="65"/>
        <v>45267</v>
      </c>
      <c r="BE2" s="83">
        <f t="shared" si="65"/>
        <v>45268</v>
      </c>
      <c r="BF2" s="83">
        <f t="shared" si="65"/>
        <v>45269</v>
      </c>
      <c r="BG2" s="83">
        <f t="shared" si="65"/>
        <v>45270</v>
      </c>
      <c r="BH2" s="83">
        <f t="shared" si="65"/>
        <v>45271</v>
      </c>
      <c r="BI2" s="83">
        <f t="shared" si="65"/>
        <v>45272</v>
      </c>
      <c r="BJ2" s="83">
        <f t="shared" si="65"/>
        <v>45273</v>
      </c>
      <c r="BK2" s="83">
        <f t="shared" ref="BK2:BO2" si="66">BJ2+1</f>
        <v>45274</v>
      </c>
      <c r="BL2" s="83">
        <f t="shared" si="66"/>
        <v>45275</v>
      </c>
      <c r="BM2" s="83">
        <f t="shared" si="66"/>
        <v>45276</v>
      </c>
      <c r="BN2" s="83">
        <f t="shared" si="66"/>
        <v>45277</v>
      </c>
      <c r="BO2" s="83">
        <f t="shared" si="66"/>
        <v>45278</v>
      </c>
      <c r="BP2" s="83">
        <f t="shared" ref="BP2:BX2" si="67">BO2+1</f>
        <v>45279</v>
      </c>
      <c r="BQ2" s="83">
        <f t="shared" si="67"/>
        <v>45280</v>
      </c>
      <c r="BR2" s="83">
        <f t="shared" si="67"/>
        <v>45281</v>
      </c>
      <c r="BS2" s="83">
        <f t="shared" si="67"/>
        <v>45282</v>
      </c>
      <c r="BT2" s="83">
        <f t="shared" si="67"/>
        <v>45283</v>
      </c>
      <c r="BU2" s="83">
        <f t="shared" si="67"/>
        <v>45284</v>
      </c>
      <c r="BV2" s="83">
        <f t="shared" si="67"/>
        <v>45285</v>
      </c>
      <c r="BW2" s="83">
        <f t="shared" si="67"/>
        <v>45286</v>
      </c>
      <c r="BX2" s="83">
        <f t="shared" si="67"/>
        <v>45287</v>
      </c>
    </row>
    <row r="3" spans="1:76" x14ac:dyDescent="0.25">
      <c r="A3">
        <v>1</v>
      </c>
      <c r="B3" s="111" t="s">
        <v>4</v>
      </c>
      <c r="C3" s="84" t="s">
        <v>113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 t="s">
        <v>126</v>
      </c>
      <c r="AO3" s="3" t="s">
        <v>126</v>
      </c>
      <c r="AP3" s="3" t="s">
        <v>126</v>
      </c>
      <c r="AQ3" s="3" t="s">
        <v>126</v>
      </c>
      <c r="AR3" s="3" t="s">
        <v>126</v>
      </c>
      <c r="AS3" s="3"/>
      <c r="AT3" s="3" t="s">
        <v>126</v>
      </c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</row>
    <row r="4" spans="1:76" x14ac:dyDescent="0.25">
      <c r="A4">
        <v>2</v>
      </c>
      <c r="B4" s="111" t="s">
        <v>4</v>
      </c>
      <c r="C4" s="84" t="s">
        <v>114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</row>
    <row r="5" spans="1:76" x14ac:dyDescent="0.25">
      <c r="A5">
        <v>3</v>
      </c>
      <c r="B5" s="111" t="s">
        <v>4</v>
      </c>
      <c r="C5" s="84" t="s">
        <v>115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 t="s">
        <v>126</v>
      </c>
      <c r="P5" s="3" t="s">
        <v>126</v>
      </c>
      <c r="Q5" s="3"/>
      <c r="R5" s="3"/>
      <c r="S5" s="3"/>
      <c r="T5" s="3" t="s">
        <v>126</v>
      </c>
      <c r="U5" s="3" t="s">
        <v>126</v>
      </c>
      <c r="V5" s="3" t="s">
        <v>126</v>
      </c>
      <c r="W5" s="3" t="s">
        <v>126</v>
      </c>
      <c r="X5" s="3"/>
      <c r="Y5" s="3"/>
      <c r="Z5" s="3" t="s">
        <v>126</v>
      </c>
      <c r="AA5" s="3" t="s">
        <v>126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</row>
    <row r="6" spans="1:76" x14ac:dyDescent="0.25">
      <c r="A6">
        <v>4</v>
      </c>
      <c r="B6" t="s">
        <v>4</v>
      </c>
      <c r="C6" s="84" t="s">
        <v>116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 t="s">
        <v>126</v>
      </c>
      <c r="P6" s="3" t="s">
        <v>126</v>
      </c>
      <c r="Q6" s="3"/>
      <c r="R6" s="3"/>
      <c r="S6" s="3"/>
      <c r="T6" s="3" t="s">
        <v>126</v>
      </c>
      <c r="U6" s="3" t="s">
        <v>126</v>
      </c>
      <c r="V6" s="3" t="s">
        <v>126</v>
      </c>
      <c r="W6" s="3" t="s">
        <v>126</v>
      </c>
      <c r="X6" s="3"/>
      <c r="Y6" s="3"/>
      <c r="Z6" s="3" t="s">
        <v>126</v>
      </c>
      <c r="AA6" s="3" t="s">
        <v>126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</row>
    <row r="7" spans="1:76" x14ac:dyDescent="0.25">
      <c r="A7">
        <v>5</v>
      </c>
      <c r="B7" t="s">
        <v>4</v>
      </c>
      <c r="C7" s="84" t="s">
        <v>117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 t="s">
        <v>126</v>
      </c>
      <c r="AA7" s="3" t="s">
        <v>126</v>
      </c>
      <c r="AB7" s="3" t="s">
        <v>126</v>
      </c>
      <c r="AC7" s="3" t="s">
        <v>126</v>
      </c>
      <c r="AD7" s="3" t="s">
        <v>126</v>
      </c>
      <c r="AF7" s="3" t="s">
        <v>126</v>
      </c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</row>
    <row r="8" spans="1:76" x14ac:dyDescent="0.25">
      <c r="A8">
        <v>6</v>
      </c>
      <c r="B8" t="s">
        <v>4</v>
      </c>
      <c r="C8" s="84" t="s">
        <v>118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 t="s">
        <v>126</v>
      </c>
      <c r="AA8" s="3" t="s">
        <v>126</v>
      </c>
      <c r="AB8" s="3" t="s">
        <v>126</v>
      </c>
      <c r="AC8" s="3" t="s">
        <v>126</v>
      </c>
      <c r="AD8" s="3" t="s">
        <v>126</v>
      </c>
      <c r="AF8" s="3" t="s">
        <v>126</v>
      </c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</row>
    <row r="9" spans="1:76" x14ac:dyDescent="0.25">
      <c r="A9">
        <v>7</v>
      </c>
      <c r="B9" s="111" t="s">
        <v>4</v>
      </c>
      <c r="C9" s="84" t="s">
        <v>119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 t="s">
        <v>126</v>
      </c>
      <c r="AH9" s="3" t="s">
        <v>126</v>
      </c>
      <c r="AI9" s="3" t="s">
        <v>126</v>
      </c>
      <c r="AJ9" s="3" t="s">
        <v>126</v>
      </c>
      <c r="AK9" s="3" t="s">
        <v>126</v>
      </c>
      <c r="AL9" s="3"/>
      <c r="AM9" s="3" t="s">
        <v>126</v>
      </c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</row>
    <row r="10" spans="1:76" x14ac:dyDescent="0.25">
      <c r="A10">
        <v>8</v>
      </c>
      <c r="B10" s="111" t="s">
        <v>4</v>
      </c>
      <c r="C10" s="84" t="s">
        <v>120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 t="s">
        <v>126</v>
      </c>
      <c r="AH10" s="3" t="s">
        <v>126</v>
      </c>
      <c r="AI10" s="3" t="s">
        <v>126</v>
      </c>
      <c r="AJ10" s="3" t="s">
        <v>126</v>
      </c>
      <c r="AK10" s="3" t="s">
        <v>126</v>
      </c>
      <c r="AL10" s="3"/>
      <c r="AM10" s="3" t="s">
        <v>126</v>
      </c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</row>
    <row r="11" spans="1:76" x14ac:dyDescent="0.25">
      <c r="A11">
        <v>9</v>
      </c>
      <c r="B11" s="111" t="s">
        <v>4</v>
      </c>
      <c r="C11" s="84" t="s">
        <v>121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</row>
    <row r="12" spans="1:76" x14ac:dyDescent="0.25">
      <c r="A12">
        <v>10</v>
      </c>
      <c r="B12" s="111" t="s">
        <v>4</v>
      </c>
      <c r="C12" s="84" t="s">
        <v>122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 t="s">
        <v>126</v>
      </c>
      <c r="AO12" s="3" t="s">
        <v>126</v>
      </c>
      <c r="AP12" s="3" t="s">
        <v>126</v>
      </c>
      <c r="AQ12" s="3" t="s">
        <v>126</v>
      </c>
      <c r="AR12" s="3" t="s">
        <v>126</v>
      </c>
      <c r="AS12" s="3"/>
      <c r="AT12" s="3" t="s">
        <v>126</v>
      </c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</row>
    <row r="13" spans="1:76" x14ac:dyDescent="0.25">
      <c r="A13">
        <v>11</v>
      </c>
      <c r="B13" s="111" t="s">
        <v>4</v>
      </c>
      <c r="C13" s="84" t="s">
        <v>123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 t="s">
        <v>126</v>
      </c>
      <c r="AV13" s="3" t="s">
        <v>126</v>
      </c>
      <c r="AW13" s="3" t="s">
        <v>126</v>
      </c>
      <c r="AX13" s="3" t="s">
        <v>126</v>
      </c>
      <c r="AY13" s="3" t="s">
        <v>126</v>
      </c>
      <c r="AZ13" s="3"/>
      <c r="BA13" s="3" t="s">
        <v>126</v>
      </c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</row>
    <row r="14" spans="1:76" x14ac:dyDescent="0.25">
      <c r="A14">
        <v>12</v>
      </c>
      <c r="B14" s="111" t="s">
        <v>4</v>
      </c>
      <c r="C14" s="84" t="s">
        <v>124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 t="s">
        <v>126</v>
      </c>
      <c r="AV14" s="3" t="s">
        <v>126</v>
      </c>
      <c r="AW14" s="3" t="s">
        <v>126</v>
      </c>
      <c r="AX14" s="3" t="s">
        <v>126</v>
      </c>
      <c r="AY14" s="3" t="s">
        <v>126</v>
      </c>
      <c r="AZ14" s="3"/>
      <c r="BA14" s="3" t="s">
        <v>126</v>
      </c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</row>
    <row r="15" spans="1:76" x14ac:dyDescent="0.25">
      <c r="A15">
        <v>13</v>
      </c>
      <c r="B15" t="s">
        <v>4</v>
      </c>
      <c r="C15" s="84" t="s">
        <v>125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</row>
    <row r="20" spans="51:51" x14ac:dyDescent="0.25">
      <c r="AY20">
        <f>13*6</f>
        <v>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7C9B6-DB5C-4F0A-85B2-4181EEDCFC41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TABLA CONVERSION ITEMS Psico</vt:lpstr>
      <vt:lpstr>TABLA CONVERSION ITEMS SUPER</vt:lpstr>
      <vt:lpstr>TABLA CONVERSION ITEMS ABOGA</vt:lpstr>
      <vt:lpstr>Control fac_Calma</vt:lpstr>
      <vt:lpstr>Hoja4</vt:lpstr>
      <vt:lpstr>CONTROL DE PPTO</vt:lpstr>
      <vt:lpstr>Cronograma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Eneida Gomez</dc:creator>
  <cp:keywords/>
  <dc:description/>
  <cp:lastModifiedBy>Esmeralda Arellano Méndez</cp:lastModifiedBy>
  <cp:revision/>
  <dcterms:created xsi:type="dcterms:W3CDTF">2022-11-24T14:09:57Z</dcterms:created>
  <dcterms:modified xsi:type="dcterms:W3CDTF">2024-05-04T14:34:18Z</dcterms:modified>
  <cp:category/>
  <cp:contentStatus/>
</cp:coreProperties>
</file>