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SANTA FE DE ANTIOQUIA\SECRETARIA DE INFRAESTRUCTURA\CMC 046-2024 OBRA BODEGA\"/>
    </mc:Choice>
  </mc:AlternateContent>
  <xr:revisionPtr revIDLastSave="0" documentId="13_ncr:1_{AEE7C1D2-67DC-46DA-A933-7A7EF7B5C883}" xr6:coauthVersionLast="47" xr6:coauthVersionMax="47" xr10:uidLastSave="{00000000-0000-0000-0000-000000000000}"/>
  <bookViews>
    <workbookView xWindow="-120" yWindow="-120" windowWidth="29040" windowHeight="15720" activeTab="3" xr2:uid="{4FFDCEC3-5ABD-4932-BCE8-60926B9AC5D9}"/>
  </bookViews>
  <sheets>
    <sheet name="Detalle de Presupuesto" sheetId="7" r:id="rId1"/>
    <sheet name="APU" sheetId="72" r:id="rId2"/>
    <sheet name="Materiales" sheetId="32" r:id="rId3"/>
    <sheet name="CALCULO AU" sheetId="33" r:id="rId4"/>
    <sheet name="Mano de Obra" sheetId="8" state="hidden" r:id="rId5"/>
  </sheets>
  <externalReferences>
    <externalReference r:id="rId6"/>
    <externalReference r:id="rId7"/>
    <externalReference r:id="rId8"/>
    <externalReference r:id="rId9"/>
  </externalReferences>
  <definedNames>
    <definedName name="Actividad" localSheetId="3">[1]ACTIVIDADES!$A$3:$B$27</definedName>
    <definedName name="Actividad">#REF!</definedName>
    <definedName name="Actividades">#REF!</definedName>
    <definedName name="_xlnm.Print_Area" localSheetId="1">APU!$A$1:$H$461</definedName>
    <definedName name="_xlnm.Print_Area" localSheetId="3">'CALCULO AU'!$A$1:$H$55</definedName>
    <definedName name="_xlnm.Print_Area" localSheetId="0">'Detalle de Presupuesto'!$A$1:$G$35</definedName>
    <definedName name="CodActi">#REF!</definedName>
    <definedName name="Comprobantes">'[2]Tabla de Comprobantes'!$A$3:$A$65</definedName>
    <definedName name="Cuadrilla" localSheetId="3">'[1]Mano de Obra'!$A$2:$A$22</definedName>
    <definedName name="Cuadrilla">'Mano de Obra'!$A$2:$A$22</definedName>
    <definedName name="DATOS">Materiales!$A$2:$C$350</definedName>
    <definedName name="Descripcion" localSheetId="3">[1]ACTIVIDADES!$B$3:$B$27</definedName>
    <definedName name="Descripcion">#REF!</definedName>
    <definedName name="detalle" localSheetId="2">Materiales!$A$2:$A$350</definedName>
    <definedName name="detalle">[3]Materiales!$A$2:$A$219</definedName>
    <definedName name="Jornal" localSheetId="3">'[1]Mano de Obra'!$A$2:$B$22</definedName>
    <definedName name="Jornal">'Mano de Obra'!$A$2:$B$22</definedName>
    <definedName name="LISTA_EQ">[4]Equipos!$A$2:$A$79</definedName>
    <definedName name="LISTA_HE">[4]Herramienta!$A$2:$A$5</definedName>
    <definedName name="LISTA_MA">[4]Materiales!$A$2:$A$1377</definedName>
    <definedName name="LISTA_MO">'[4]Mano de Obra'!$A$2:$A$43</definedName>
    <definedName name="LISTA_OT">[4]Otros!$A$2:$A$70</definedName>
    <definedName name="mat">Materiales!$A$2:$C$351</definedName>
    <definedName name="Materiales">Materiales!$A$2:$A$351</definedName>
    <definedName name="PC">'[2]Tabla de Comprobantes'!$E$3:$E$14</definedName>
    <definedName name="sga">Materiales!$A$2:$C$351</definedName>
    <definedName name="_xlnm.Print_Titles" localSheetId="0">'Detalle de Presupuesto'!$1:$2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33" l="1"/>
  <c r="G9" i="33" s="1"/>
  <c r="H52" i="33"/>
  <c r="H55" i="33" s="1"/>
  <c r="H42" i="33"/>
  <c r="G54" i="33"/>
  <c r="E167" i="72"/>
  <c r="F103" i="72"/>
  <c r="F53" i="72"/>
  <c r="F236" i="72"/>
  <c r="G236" i="72"/>
  <c r="E236" i="72"/>
  <c r="F253" i="72"/>
  <c r="F162" i="72"/>
  <c r="F179" i="72"/>
  <c r="E162" i="72"/>
  <c r="F166" i="72"/>
  <c r="E124" i="72"/>
  <c r="G124" i="72" s="1"/>
  <c r="F449" i="72"/>
  <c r="G449" i="72" s="1"/>
  <c r="E433" i="72"/>
  <c r="G433" i="72"/>
  <c r="G391" i="72"/>
  <c r="F407" i="72"/>
  <c r="G407" i="72" s="1"/>
  <c r="F365" i="72"/>
  <c r="G365" i="72" s="1"/>
  <c r="F324" i="72"/>
  <c r="G324" i="72" s="1"/>
  <c r="F283" i="72"/>
  <c r="G283" i="72" s="1"/>
  <c r="F248" i="72"/>
  <c r="G248" i="72" s="1"/>
  <c r="F210" i="72"/>
  <c r="G210" i="72" s="1"/>
  <c r="F174" i="72"/>
  <c r="G174" i="72" s="1"/>
  <c r="F136" i="72"/>
  <c r="G136" i="72" s="1"/>
  <c r="F90" i="72"/>
  <c r="F98" i="72"/>
  <c r="G98" i="72" s="1"/>
  <c r="E86" i="72"/>
  <c r="G86" i="72" s="1"/>
  <c r="F60" i="72"/>
  <c r="G162" i="72" l="1"/>
  <c r="E21" i="7"/>
  <c r="E16" i="7"/>
  <c r="E13" i="7"/>
  <c r="E12" i="7"/>
  <c r="C10" i="32" l="1"/>
  <c r="C13" i="32"/>
  <c r="G309" i="72" l="1"/>
  <c r="F317" i="72"/>
  <c r="G104" i="72"/>
  <c r="C103" i="72"/>
  <c r="E103" i="72" s="1"/>
  <c r="G103" i="72" s="1"/>
  <c r="G106" i="72" s="1"/>
  <c r="G100" i="72"/>
  <c r="E94" i="72"/>
  <c r="G94" i="72" s="1"/>
  <c r="D94" i="72"/>
  <c r="E93" i="72"/>
  <c r="D93" i="72"/>
  <c r="E92" i="72"/>
  <c r="G92" i="72" s="1"/>
  <c r="D92" i="72"/>
  <c r="E91" i="72"/>
  <c r="G91" i="72" s="1"/>
  <c r="D91" i="72"/>
  <c r="E90" i="72"/>
  <c r="G90" i="72" s="1"/>
  <c r="D90" i="72"/>
  <c r="B13" i="7"/>
  <c r="D13" i="7"/>
  <c r="G93" i="72" l="1"/>
  <c r="G95" i="72" s="1"/>
  <c r="E85" i="72"/>
  <c r="G85" i="72" s="1"/>
  <c r="G87" i="72" s="1"/>
  <c r="G108" i="72" l="1"/>
  <c r="G81" i="72" s="1"/>
  <c r="F13" i="7" s="1"/>
  <c r="G13" i="7" s="1"/>
  <c r="B28" i="7" l="1"/>
  <c r="D28" i="7"/>
  <c r="G455" i="72"/>
  <c r="C454" i="72"/>
  <c r="E454" i="72" s="1"/>
  <c r="G454" i="72" s="1"/>
  <c r="G451" i="72"/>
  <c r="E445" i="72"/>
  <c r="G445" i="72" s="1"/>
  <c r="D445" i="72"/>
  <c r="E444" i="72"/>
  <c r="G444" i="72" s="1"/>
  <c r="D444" i="72"/>
  <c r="E443" i="72"/>
  <c r="G443" i="72" s="1"/>
  <c r="D443" i="72"/>
  <c r="E442" i="72"/>
  <c r="G442" i="72" s="1"/>
  <c r="D442" i="72"/>
  <c r="E441" i="72"/>
  <c r="G441" i="72" s="1"/>
  <c r="D441" i="72"/>
  <c r="E440" i="72"/>
  <c r="G440" i="72" s="1"/>
  <c r="D440" i="72"/>
  <c r="E439" i="72"/>
  <c r="G439" i="72" s="1"/>
  <c r="D439" i="72"/>
  <c r="E438" i="72"/>
  <c r="G438" i="72" s="1"/>
  <c r="D438" i="72"/>
  <c r="E437" i="72"/>
  <c r="G437" i="72" s="1"/>
  <c r="D437" i="72"/>
  <c r="B27" i="7"/>
  <c r="D27" i="7"/>
  <c r="D399" i="72"/>
  <c r="E399" i="72"/>
  <c r="G399" i="72" s="1"/>
  <c r="G413" i="72"/>
  <c r="C412" i="72"/>
  <c r="E412" i="72" s="1"/>
  <c r="G412" i="72" s="1"/>
  <c r="G409" i="72"/>
  <c r="E403" i="72"/>
  <c r="G403" i="72" s="1"/>
  <c r="D403" i="72"/>
  <c r="E402" i="72"/>
  <c r="G402" i="72" s="1"/>
  <c r="D402" i="72"/>
  <c r="E401" i="72"/>
  <c r="G401" i="72" s="1"/>
  <c r="D401" i="72"/>
  <c r="E400" i="72"/>
  <c r="G400" i="72" s="1"/>
  <c r="D400" i="72"/>
  <c r="E398" i="72"/>
  <c r="G398" i="72" s="1"/>
  <c r="D398" i="72"/>
  <c r="E397" i="72"/>
  <c r="G397" i="72" s="1"/>
  <c r="D397" i="72"/>
  <c r="E396" i="72"/>
  <c r="G396" i="72" s="1"/>
  <c r="D396" i="72"/>
  <c r="E395" i="72"/>
  <c r="G395" i="72" s="1"/>
  <c r="D395" i="72"/>
  <c r="B26" i="7"/>
  <c r="D26" i="7"/>
  <c r="G371" i="72"/>
  <c r="C370" i="72"/>
  <c r="E370" i="72" s="1"/>
  <c r="G370" i="72" s="1"/>
  <c r="G367" i="72"/>
  <c r="E361" i="72"/>
  <c r="G361" i="72" s="1"/>
  <c r="D361" i="72"/>
  <c r="E360" i="72"/>
  <c r="G360" i="72" s="1"/>
  <c r="D360" i="72"/>
  <c r="E359" i="72"/>
  <c r="G359" i="72" s="1"/>
  <c r="D359" i="72"/>
  <c r="E358" i="72"/>
  <c r="G358" i="72" s="1"/>
  <c r="D358" i="72"/>
  <c r="E357" i="72"/>
  <c r="G357" i="72" s="1"/>
  <c r="D357" i="72"/>
  <c r="E356" i="72"/>
  <c r="G356" i="72" s="1"/>
  <c r="D356" i="72"/>
  <c r="E355" i="72"/>
  <c r="G355" i="72" s="1"/>
  <c r="D355" i="72"/>
  <c r="E354" i="72"/>
  <c r="G354" i="72" s="1"/>
  <c r="D354" i="72"/>
  <c r="D25" i="7"/>
  <c r="B25" i="7"/>
  <c r="D318" i="72"/>
  <c r="E318" i="72"/>
  <c r="G318" i="72" s="1"/>
  <c r="D317" i="72"/>
  <c r="E317" i="72"/>
  <c r="G317" i="72" s="1"/>
  <c r="G330" i="72"/>
  <c r="C329" i="72"/>
  <c r="E329" i="72" s="1"/>
  <c r="G329" i="72" s="1"/>
  <c r="G326" i="72"/>
  <c r="E320" i="72"/>
  <c r="G320" i="72" s="1"/>
  <c r="D320" i="72"/>
  <c r="E319" i="72"/>
  <c r="G319" i="72" s="1"/>
  <c r="D319" i="72"/>
  <c r="E316" i="72"/>
  <c r="G316" i="72" s="1"/>
  <c r="D316" i="72"/>
  <c r="E315" i="72"/>
  <c r="G315" i="72" s="1"/>
  <c r="D315" i="72"/>
  <c r="E314" i="72"/>
  <c r="G314" i="72" s="1"/>
  <c r="D314" i="72"/>
  <c r="E313" i="72"/>
  <c r="G313" i="72" s="1"/>
  <c r="D313" i="72"/>
  <c r="B22" i="7"/>
  <c r="D22" i="7"/>
  <c r="G289" i="72"/>
  <c r="C288" i="72"/>
  <c r="E288" i="72" s="1"/>
  <c r="G288" i="72" s="1"/>
  <c r="G285" i="72"/>
  <c r="E279" i="72"/>
  <c r="G279" i="72" s="1"/>
  <c r="D279" i="72"/>
  <c r="E278" i="72"/>
  <c r="G278" i="72" s="1"/>
  <c r="D278" i="72"/>
  <c r="G254" i="72"/>
  <c r="C253" i="72"/>
  <c r="E253" i="72" s="1"/>
  <c r="G253" i="72" s="1"/>
  <c r="G250" i="72"/>
  <c r="E244" i="72"/>
  <c r="G244" i="72" s="1"/>
  <c r="D244" i="72"/>
  <c r="E243" i="72"/>
  <c r="G243" i="72" s="1"/>
  <c r="D243" i="72"/>
  <c r="E242" i="72"/>
  <c r="G242" i="72" s="1"/>
  <c r="D242" i="72"/>
  <c r="E241" i="72"/>
  <c r="G241" i="72" s="1"/>
  <c r="D241" i="72"/>
  <c r="E240" i="72"/>
  <c r="G240" i="72" s="1"/>
  <c r="D240" i="72"/>
  <c r="B21" i="7"/>
  <c r="D21" i="7"/>
  <c r="B18" i="7"/>
  <c r="G216" i="72"/>
  <c r="C215" i="72"/>
  <c r="E215" i="72" s="1"/>
  <c r="G215" i="72" s="1"/>
  <c r="G212" i="72"/>
  <c r="E206" i="72"/>
  <c r="G206" i="72" s="1"/>
  <c r="D206" i="72"/>
  <c r="E205" i="72"/>
  <c r="G205" i="72" s="1"/>
  <c r="D205" i="72"/>
  <c r="E204" i="72"/>
  <c r="G204" i="72" s="1"/>
  <c r="D204" i="72"/>
  <c r="D167" i="72"/>
  <c r="B17" i="7"/>
  <c r="D17" i="7"/>
  <c r="G180" i="72"/>
  <c r="C179" i="72"/>
  <c r="E179" i="72" s="1"/>
  <c r="G179" i="72" s="1"/>
  <c r="G176" i="72"/>
  <c r="E170" i="72"/>
  <c r="G170" i="72" s="1"/>
  <c r="D170" i="72"/>
  <c r="E169" i="72"/>
  <c r="G169" i="72" s="1"/>
  <c r="D169" i="72"/>
  <c r="E168" i="72"/>
  <c r="G168" i="72" s="1"/>
  <c r="D168" i="72"/>
  <c r="G167" i="72"/>
  <c r="E166" i="72"/>
  <c r="G166" i="72" s="1"/>
  <c r="D166" i="72"/>
  <c r="B16" i="7"/>
  <c r="D16" i="7"/>
  <c r="G142" i="72"/>
  <c r="C141" i="72"/>
  <c r="E141" i="72" s="1"/>
  <c r="G141" i="72" s="1"/>
  <c r="G138" i="72"/>
  <c r="E132" i="72"/>
  <c r="G132" i="72" s="1"/>
  <c r="D132" i="72"/>
  <c r="E131" i="72"/>
  <c r="G131" i="72" s="1"/>
  <c r="D131" i="72"/>
  <c r="E129" i="72"/>
  <c r="G129" i="72" s="1"/>
  <c r="D129" i="72"/>
  <c r="E128" i="72"/>
  <c r="G128" i="72" s="1"/>
  <c r="D128" i="72"/>
  <c r="G457" i="72" l="1"/>
  <c r="E432" i="72" s="1"/>
  <c r="G432" i="72" s="1"/>
  <c r="G434" i="72" s="1"/>
  <c r="G415" i="72"/>
  <c r="E390" i="72" s="1"/>
  <c r="G390" i="72" s="1"/>
  <c r="G392" i="72" s="1"/>
  <c r="G446" i="72"/>
  <c r="G373" i="72"/>
  <c r="E349" i="72" s="1"/>
  <c r="G349" i="72" s="1"/>
  <c r="G351" i="72" s="1"/>
  <c r="G404" i="72"/>
  <c r="G362" i="72"/>
  <c r="G332" i="72"/>
  <c r="E308" i="72" s="1"/>
  <c r="G308" i="72" s="1"/>
  <c r="G310" i="72" s="1"/>
  <c r="G321" i="72"/>
  <c r="G291" i="72"/>
  <c r="E273" i="72" s="1"/>
  <c r="G273" i="72" s="1"/>
  <c r="G275" i="72" s="1"/>
  <c r="G182" i="72"/>
  <c r="E161" i="72" s="1"/>
  <c r="G161" i="72" s="1"/>
  <c r="G163" i="72" s="1"/>
  <c r="G280" i="72"/>
  <c r="G256" i="72"/>
  <c r="E235" i="72" s="1"/>
  <c r="G235" i="72" s="1"/>
  <c r="G237" i="72" s="1"/>
  <c r="G245" i="72"/>
  <c r="G218" i="72"/>
  <c r="E199" i="72" s="1"/>
  <c r="G199" i="72" s="1"/>
  <c r="G201" i="72" s="1"/>
  <c r="G144" i="72"/>
  <c r="E123" i="72" s="1"/>
  <c r="G123" i="72" s="1"/>
  <c r="G125" i="72" s="1"/>
  <c r="G207" i="72"/>
  <c r="G171" i="72"/>
  <c r="G130" i="72"/>
  <c r="G133" i="72" s="1"/>
  <c r="G459" i="72" l="1"/>
  <c r="G428" i="72" s="1"/>
  <c r="G375" i="72"/>
  <c r="G345" i="72" s="1"/>
  <c r="G417" i="72"/>
  <c r="G386" i="72" s="1"/>
  <c r="G334" i="72"/>
  <c r="G304" i="72" s="1"/>
  <c r="G293" i="72"/>
  <c r="G269" i="72" s="1"/>
  <c r="G220" i="72"/>
  <c r="G195" i="72" s="1"/>
  <c r="G258" i="72"/>
  <c r="G231" i="72" s="1"/>
  <c r="G184" i="72"/>
  <c r="G157" i="72" s="1"/>
  <c r="G146" i="72"/>
  <c r="G119" i="72" s="1"/>
  <c r="F21" i="7" l="1"/>
  <c r="G21" i="7" s="1"/>
  <c r="F25" i="7"/>
  <c r="G25" i="7" s="1"/>
  <c r="F18" i="7"/>
  <c r="G18" i="7" s="1"/>
  <c r="F27" i="7"/>
  <c r="G27" i="7" s="1"/>
  <c r="F26" i="7"/>
  <c r="G26" i="7" s="1"/>
  <c r="F16" i="7"/>
  <c r="G16" i="7" s="1"/>
  <c r="F28" i="7"/>
  <c r="G28" i="7" s="1"/>
  <c r="F17" i="7"/>
  <c r="G17" i="7" s="1"/>
  <c r="F22" i="7"/>
  <c r="G22" i="7" s="1"/>
  <c r="G15" i="7" l="1"/>
  <c r="G20" i="7"/>
  <c r="G24" i="7"/>
  <c r="G54" i="72" l="1"/>
  <c r="D12" i="7"/>
  <c r="B12" i="7"/>
  <c r="G66" i="72"/>
  <c r="C65" i="72"/>
  <c r="E65" i="72" s="1"/>
  <c r="G65" i="72" s="1"/>
  <c r="G60" i="72"/>
  <c r="G62" i="72" s="1"/>
  <c r="E56" i="72"/>
  <c r="G56" i="72" s="1"/>
  <c r="D56" i="72"/>
  <c r="G55" i="72"/>
  <c r="E53" i="72"/>
  <c r="G53" i="72" s="1"/>
  <c r="D53" i="72"/>
  <c r="G49" i="72"/>
  <c r="C12" i="32"/>
  <c r="C11" i="32"/>
  <c r="G68" i="72" l="1"/>
  <c r="E48" i="72" s="1"/>
  <c r="G48" i="72" s="1"/>
  <c r="G50" i="72" s="1"/>
  <c r="G57" i="72"/>
  <c r="G70" i="72" l="1"/>
  <c r="G44" i="72" s="1"/>
  <c r="F12" i="7" l="1"/>
  <c r="G12" i="7" s="1"/>
  <c r="G11" i="7" s="1"/>
  <c r="C29" i="72"/>
  <c r="E29" i="72" s="1"/>
  <c r="G29" i="72" s="1"/>
  <c r="B9" i="7"/>
  <c r="C28" i="72" l="1"/>
  <c r="E28" i="72" s="1"/>
  <c r="G23" i="72"/>
  <c r="G25" i="72" s="1"/>
  <c r="E19" i="72"/>
  <c r="G19" i="72" s="1"/>
  <c r="D19" i="72"/>
  <c r="E18" i="72"/>
  <c r="G18" i="72" s="1"/>
  <c r="D18" i="72"/>
  <c r="G17" i="72"/>
  <c r="D17" i="72"/>
  <c r="B5" i="8"/>
  <c r="B4" i="8"/>
  <c r="D4" i="8" s="1"/>
  <c r="B3" i="8"/>
  <c r="D2" i="8"/>
  <c r="G20" i="72" l="1"/>
  <c r="G28" i="72"/>
  <c r="G31" i="72" s="1"/>
  <c r="D5" i="8"/>
  <c r="D3" i="8"/>
  <c r="E12" i="72" l="1"/>
  <c r="G12" i="72" s="1"/>
  <c r="G14" i="72" s="1"/>
  <c r="G33" i="72" s="1"/>
  <c r="G8" i="72" s="1"/>
  <c r="F9" i="7" l="1"/>
  <c r="G31" i="33" l="1"/>
  <c r="G30" i="33"/>
  <c r="G29" i="33"/>
  <c r="G28" i="33"/>
  <c r="G21" i="33"/>
  <c r="G20" i="33"/>
  <c r="G19" i="33"/>
  <c r="G18" i="33"/>
  <c r="G17" i="33"/>
  <c r="G15" i="33"/>
  <c r="G14" i="33"/>
  <c r="G16" i="33"/>
  <c r="G13" i="33"/>
  <c r="C129" i="32" l="1"/>
  <c r="C128" i="32"/>
  <c r="C127" i="32"/>
  <c r="C151" i="32"/>
  <c r="C150" i="32"/>
  <c r="C36" i="32" l="1"/>
  <c r="C44" i="32" l="1"/>
  <c r="G27" i="33" l="1"/>
  <c r="G26" i="33"/>
  <c r="G25" i="33"/>
  <c r="G22" i="33" l="1"/>
  <c r="G45" i="33" s="1"/>
  <c r="C328" i="32" l="1"/>
  <c r="C327" i="32"/>
  <c r="C210" i="32"/>
  <c r="C209" i="32"/>
  <c r="C208" i="32"/>
  <c r="F178" i="32"/>
  <c r="G101" i="32"/>
  <c r="G99" i="32"/>
  <c r="G65" i="32"/>
  <c r="C54" i="32"/>
  <c r="C53" i="32"/>
  <c r="B21" i="8" l="1"/>
  <c r="B20" i="8"/>
  <c r="B19" i="8"/>
  <c r="B14" i="8"/>
  <c r="B8" i="8" l="1"/>
  <c r="B10" i="8"/>
  <c r="B13" i="8"/>
  <c r="B16" i="8"/>
  <c r="B17" i="8"/>
  <c r="B18" i="8"/>
  <c r="B11" i="8"/>
  <c r="B12" i="8"/>
  <c r="B7" i="8"/>
  <c r="B15" i="8"/>
  <c r="B9" i="8"/>
  <c r="G9" i="7" l="1"/>
  <c r="G8" i="7" s="1"/>
  <c r="G32" i="33" l="1"/>
  <c r="G31" i="7"/>
  <c r="C7" i="33" s="1"/>
  <c r="F33" i="33" l="1"/>
  <c r="H31" i="33"/>
  <c r="H30" i="33"/>
  <c r="H21" i="33"/>
  <c r="H27" i="33"/>
  <c r="H18" i="33"/>
  <c r="H28" i="33"/>
  <c r="G33" i="33"/>
  <c r="G38" i="33"/>
  <c r="H38" i="33" s="1"/>
  <c r="H16" i="33"/>
  <c r="G41" i="33"/>
  <c r="H41" i="33" s="1"/>
  <c r="G39" i="33"/>
  <c r="H39" i="33" s="1"/>
  <c r="G37" i="33"/>
  <c r="G40" i="33"/>
  <c r="H40" i="33" s="1"/>
  <c r="H29" i="33"/>
  <c r="H26" i="33"/>
  <c r="H15" i="33"/>
  <c r="H25" i="33"/>
  <c r="H32" i="33"/>
  <c r="H13" i="33"/>
  <c r="H17" i="33"/>
  <c r="H19" i="33"/>
  <c r="H14" i="33"/>
  <c r="H20" i="33"/>
  <c r="H22" i="33" l="1"/>
  <c r="H45" i="33" s="1"/>
  <c r="G34" i="33"/>
  <c r="G46" i="33" s="1"/>
  <c r="H33" i="33"/>
  <c r="H34" i="33" s="1"/>
  <c r="H46" i="33" s="1"/>
  <c r="G42" i="33"/>
  <c r="G47" i="33" s="1"/>
  <c r="H37" i="33"/>
  <c r="H47" i="33" s="1"/>
  <c r="H48" i="33" s="1"/>
  <c r="G48" i="33" l="1"/>
  <c r="G52" i="33" s="1"/>
  <c r="G55" i="33" l="1"/>
  <c r="F32" i="7" l="1"/>
  <c r="G32" i="7" s="1"/>
  <c r="G34" i="7" s="1"/>
</calcChain>
</file>

<file path=xl/sharedStrings.xml><?xml version="1.0" encoding="utf-8"?>
<sst xmlns="http://schemas.openxmlformats.org/spreadsheetml/2006/main" count="1387" uniqueCount="516">
  <si>
    <t>Descripción</t>
  </si>
  <si>
    <t>Unidad</t>
  </si>
  <si>
    <t>m</t>
  </si>
  <si>
    <t>Und</t>
  </si>
  <si>
    <t>ANÁLISIS DE PRECIOS UNITARIOS</t>
  </si>
  <si>
    <t>PROYECTO U OBRA:</t>
  </si>
  <si>
    <t>DESCRIPCIÓN ITEM:</t>
  </si>
  <si>
    <t xml:space="preserve"> ÍTEM:</t>
  </si>
  <si>
    <t>UNIDAD:</t>
  </si>
  <si>
    <t>I. EQUIPO</t>
  </si>
  <si>
    <t>Precio Unit.</t>
  </si>
  <si>
    <t>Rendimiento</t>
  </si>
  <si>
    <t>Valor Parcial</t>
  </si>
  <si>
    <t>Gl</t>
  </si>
  <si>
    <t>II. MATERIALES EN OBRA</t>
  </si>
  <si>
    <t>Cantidad</t>
  </si>
  <si>
    <t>III. TRANSPORTES</t>
  </si>
  <si>
    <t>Material</t>
  </si>
  <si>
    <t xml:space="preserve">Vol., peso </t>
  </si>
  <si>
    <t>Distancia</t>
  </si>
  <si>
    <t>Tarifa</t>
  </si>
  <si>
    <t>Viaje en camión</t>
  </si>
  <si>
    <t>IV. MANO DE OBRA</t>
  </si>
  <si>
    <t>Trabajador</t>
  </si>
  <si>
    <t>Jornal</t>
  </si>
  <si>
    <t>Prestaciones</t>
  </si>
  <si>
    <t>Jornal Total</t>
  </si>
  <si>
    <t>Total Costo Directo</t>
  </si>
  <si>
    <t>Utilidad</t>
  </si>
  <si>
    <t>CANTIDAD</t>
  </si>
  <si>
    <t>UNIDAD</t>
  </si>
  <si>
    <t>DESCRIPCION</t>
  </si>
  <si>
    <t>It.</t>
  </si>
  <si>
    <t>DENOMINACIÓN</t>
  </si>
  <si>
    <t>Un</t>
  </si>
  <si>
    <t>PRECIO UNITARIO</t>
  </si>
  <si>
    <t>TOTAL</t>
  </si>
  <si>
    <t>m2</t>
  </si>
  <si>
    <t>ml</t>
  </si>
  <si>
    <t>un</t>
  </si>
  <si>
    <t>SUBTOTAL</t>
  </si>
  <si>
    <t>Cuadrilla</t>
  </si>
  <si>
    <t>Ayudante</t>
  </si>
  <si>
    <t>Oficial</t>
  </si>
  <si>
    <t>Maestro</t>
  </si>
  <si>
    <t>Coordinador SST</t>
  </si>
  <si>
    <t>L</t>
  </si>
  <si>
    <t>1 Oficial / 1 Ayudantes</t>
  </si>
  <si>
    <t>1 Oficial / 2 Ayudantes</t>
  </si>
  <si>
    <t>1 Oficial / 3 Ayudantes</t>
  </si>
  <si>
    <t>1 Oficial / 4 Ayudantes</t>
  </si>
  <si>
    <t>1 Oficial / 5 Ayudantes</t>
  </si>
  <si>
    <t>1 Oficial / 6 Ayudantes</t>
  </si>
  <si>
    <t>1 Oficial / 7 Ayudantes</t>
  </si>
  <si>
    <t>2 Oficial / 2 Ayudantes</t>
  </si>
  <si>
    <t>2 Oficial / 4 Ayudantes</t>
  </si>
  <si>
    <t>2 Oficial / 6 Ayudantes</t>
  </si>
  <si>
    <t>2 Oficial / 8 Ayudantes</t>
  </si>
  <si>
    <t>3 Oficial / 3 Ayudantes</t>
  </si>
  <si>
    <t>2 Ayudantes</t>
  </si>
  <si>
    <t>3 Ayudantes</t>
  </si>
  <si>
    <t>4 Ayudantes</t>
  </si>
  <si>
    <t>Herramienta menor 10% de M.o</t>
  </si>
  <si>
    <t>m3</t>
  </si>
  <si>
    <t>Alambre quemado</t>
  </si>
  <si>
    <t>kl</t>
  </si>
  <si>
    <t>Estuco Acrilico</t>
  </si>
  <si>
    <t>Pintura Acriltex</t>
  </si>
  <si>
    <t>bulto</t>
  </si>
  <si>
    <t>gl</t>
  </si>
  <si>
    <t>Pintura Alta Asepsia</t>
  </si>
  <si>
    <t>Rodillo</t>
  </si>
  <si>
    <t>Brocha</t>
  </si>
  <si>
    <t>Rollo</t>
  </si>
  <si>
    <t>Mastico</t>
  </si>
  <si>
    <t>kg</t>
  </si>
  <si>
    <t>Crucetas</t>
  </si>
  <si>
    <t>Estopa</t>
  </si>
  <si>
    <t>Placa de Yeso</t>
  </si>
  <si>
    <t>Tablilla en madera pino</t>
  </si>
  <si>
    <t>Manto asfaltico 2.5mm</t>
  </si>
  <si>
    <t>Pintura Anticorrosiva</t>
  </si>
  <si>
    <t>Angulo de refuerzo</t>
  </si>
  <si>
    <t>Descripcion</t>
  </si>
  <si>
    <t>Vr. Unitario</t>
  </si>
  <si>
    <t>sac</t>
  </si>
  <si>
    <t>Cemento Estructural 42,5kg</t>
  </si>
  <si>
    <t>Cemento Blanco</t>
  </si>
  <si>
    <t>Concreto Premezclado</t>
  </si>
  <si>
    <t>Revoque</t>
  </si>
  <si>
    <t>Mortero 1:3</t>
  </si>
  <si>
    <t>Impermeabilizante para concreto</t>
  </si>
  <si>
    <t>Kg</t>
  </si>
  <si>
    <t>Impermeabilizante integral para morteros</t>
  </si>
  <si>
    <t>Arena de concreto</t>
  </si>
  <si>
    <t>Arena de Revoque</t>
  </si>
  <si>
    <t>Arena de pega</t>
  </si>
  <si>
    <t>Triturado de 1/2"</t>
  </si>
  <si>
    <t>Tierra no vegetal</t>
  </si>
  <si>
    <t>Material Granular seleccionado</t>
  </si>
  <si>
    <t>Afirmado</t>
  </si>
  <si>
    <t>Costal</t>
  </si>
  <si>
    <t>Material para filtro</t>
  </si>
  <si>
    <t>Agua</t>
  </si>
  <si>
    <t>lt</t>
  </si>
  <si>
    <t>Cinta de Señalizacion cal 6</t>
  </si>
  <si>
    <t>Tela verde para cerramiento 100m x 2.10m</t>
  </si>
  <si>
    <t>Tela negra para cerramiento 100m x 2.10m</t>
  </si>
  <si>
    <t>Tela blanca para cerramiento 100m x 2.10m</t>
  </si>
  <si>
    <t>Caseton de Icopor</t>
  </si>
  <si>
    <t>Bloque de cemento 0.10x0.20x0.40m estructural</t>
  </si>
  <si>
    <t>Bloque de cemento 0.10x0.20x0.40m</t>
  </si>
  <si>
    <t>Bloque de cemento 0.15x0.20x0.40m</t>
  </si>
  <si>
    <t>Ladrillo prensado tipo Santa Fe 24.5x12x5.5cm</t>
  </si>
  <si>
    <t>Ladrillo tolete común</t>
  </si>
  <si>
    <t>Bloque #5 estándar 12 x 20 x 30 cm</t>
  </si>
  <si>
    <t>Barniz intemperie brillante</t>
  </si>
  <si>
    <t>Pintura Epoxica</t>
  </si>
  <si>
    <t>Pintura Vinilo tipo I</t>
  </si>
  <si>
    <t>Pintura Vinilo tipo II</t>
  </si>
  <si>
    <t>Pintura Fondeo</t>
  </si>
  <si>
    <t>Pintura Vinilo Exterior tipo KORAZA</t>
  </si>
  <si>
    <t>Pintura esmalte para exteriores</t>
  </si>
  <si>
    <t>Tex Joint Juntas</t>
  </si>
  <si>
    <t>Nevado Base</t>
  </si>
  <si>
    <t>Nevado Acabado</t>
  </si>
  <si>
    <t>Cielo Raso de PVC - Blanco</t>
  </si>
  <si>
    <t>Dilatacion en Z</t>
  </si>
  <si>
    <t>Esquinero 90°</t>
  </si>
  <si>
    <t>Media Caña en PVC - 6cm</t>
  </si>
  <si>
    <t>Registro Desmontable Snap Lock - 60x60</t>
  </si>
  <si>
    <t>Registro Desmontable Snap Lock - 50x50</t>
  </si>
  <si>
    <t>Registro Desmontable Snap Lock - 40x40</t>
  </si>
  <si>
    <t>Registro Desmontable Snap Lock - 20x20</t>
  </si>
  <si>
    <t>Duban</t>
  </si>
  <si>
    <t>SUDrywall</t>
  </si>
  <si>
    <t>Punto del dw</t>
  </si>
  <si>
    <t>Placa de Yeso RH</t>
  </si>
  <si>
    <t>Placa de Fibrocemento 6mm</t>
  </si>
  <si>
    <t>Placa de Fibrocemento 8mm</t>
  </si>
  <si>
    <t>Placa de Fibrocemento 10mm</t>
  </si>
  <si>
    <t>Placa de Fibrocemento 14mm</t>
  </si>
  <si>
    <t>Placa de Fibrocemento 20mm</t>
  </si>
  <si>
    <t>Omegas</t>
  </si>
  <si>
    <t>Viguetas</t>
  </si>
  <si>
    <t>Angulos 2x2</t>
  </si>
  <si>
    <t>Paral base 6 cal 26</t>
  </si>
  <si>
    <t>Canal base 6 cal 26</t>
  </si>
  <si>
    <t>Paral base 6 cal 24</t>
  </si>
  <si>
    <t>Canal base 6 cal 24</t>
  </si>
  <si>
    <t>Paral base 6 cal 20</t>
  </si>
  <si>
    <t>Canal base 6 cal 20</t>
  </si>
  <si>
    <t>Paral base 9 cal 24</t>
  </si>
  <si>
    <t>Canal base 9 cal 24</t>
  </si>
  <si>
    <t>Paral base 9 cal 20</t>
  </si>
  <si>
    <t>Canal base 9 cal 20</t>
  </si>
  <si>
    <t>Tornilleria</t>
  </si>
  <si>
    <t>Madera Plastica</t>
  </si>
  <si>
    <t>Masilla Cuñete 28kg</t>
  </si>
  <si>
    <t>Cinta malla</t>
  </si>
  <si>
    <t>Cinta Papel</t>
  </si>
  <si>
    <t>Hoja de lija</t>
  </si>
  <si>
    <t>…..</t>
  </si>
  <si>
    <t>Ceramica</t>
  </si>
  <si>
    <t>Pega para ceramica</t>
  </si>
  <si>
    <t>Porcelanato</t>
  </si>
  <si>
    <t>Pega para porcelanato</t>
  </si>
  <si>
    <t>Boquilla para enchape</t>
  </si>
  <si>
    <t>Piso Duropiso 33x33 cm</t>
  </si>
  <si>
    <t>Piso Laminado 8mm Centur AC4</t>
  </si>
  <si>
    <t>Guardaescoba en Madera, altura 8cm aprox</t>
  </si>
  <si>
    <t>Superlon rollo 2mm reforzado polietileno</t>
  </si>
  <si>
    <t>Pegamento XL Tradicional</t>
  </si>
  <si>
    <t>cc</t>
  </si>
  <si>
    <t>Carton Corrugado</t>
  </si>
  <si>
    <t>Plastico Negro 3m de ancho Cal 3,5</t>
  </si>
  <si>
    <t>Adhesivo epóxico - Sikadur AnchorFix-4</t>
  </si>
  <si>
    <t>Acero de 37000 psi</t>
  </si>
  <si>
    <t>#</t>
  </si>
  <si>
    <t>Diámetro(Pulgadas)</t>
  </si>
  <si>
    <t>Longitud (m)</t>
  </si>
  <si>
    <t>Masa nominal (kg/m)</t>
  </si>
  <si>
    <t>Peso (kg)</t>
  </si>
  <si>
    <t>Acero de 60000 psi</t>
  </si>
  <si>
    <t>1/4″</t>
  </si>
  <si>
    <t>0.249</t>
  </si>
  <si>
    <t>Grafil 5.5mm</t>
  </si>
  <si>
    <t>3/8″</t>
  </si>
  <si>
    <t>0.560</t>
  </si>
  <si>
    <t>3.36</t>
  </si>
  <si>
    <t>Teja Blanca 5.9X0.94M 2.5Mm</t>
  </si>
  <si>
    <t>1/2″</t>
  </si>
  <si>
    <t>0.994</t>
  </si>
  <si>
    <t>Teja Española AC</t>
  </si>
  <si>
    <t>5/8″</t>
  </si>
  <si>
    <t>Ganchos para teja AC</t>
  </si>
  <si>
    <t>3/4″</t>
  </si>
  <si>
    <t>13.41</t>
  </si>
  <si>
    <t>Amarras</t>
  </si>
  <si>
    <t>7/8″</t>
  </si>
  <si>
    <t>Silicona</t>
  </si>
  <si>
    <t>1″</t>
  </si>
  <si>
    <t>Igasol Cubierta</t>
  </si>
  <si>
    <t>1 1/8″</t>
  </si>
  <si>
    <t>30.36</t>
  </si>
  <si>
    <t>Cuarton de 2x4-3m</t>
  </si>
  <si>
    <t>1 1/4″</t>
  </si>
  <si>
    <t>Caballete Teja Española AC</t>
  </si>
  <si>
    <t>1 3/8″</t>
  </si>
  <si>
    <t>Tornillo autoperforante</t>
  </si>
  <si>
    <t>1 1/2″</t>
  </si>
  <si>
    <t>Puntilla 2"</t>
  </si>
  <si>
    <t>lb</t>
  </si>
  <si>
    <t>Formaleta Triplex 19mm</t>
  </si>
  <si>
    <t>Tabla de 1"x10"-3m</t>
  </si>
  <si>
    <t>Vareta 2"x2"-3m</t>
  </si>
  <si>
    <t>Guadua 3m</t>
  </si>
  <si>
    <t>Nylon</t>
  </si>
  <si>
    <t>Bloquelon 0.8x0.23x0.08</t>
  </si>
  <si>
    <t>Antisol</t>
  </si>
  <si>
    <t>Malla electrosoldada 15x15 4mm 1M2</t>
  </si>
  <si>
    <t>Malla electrosoldada D-257 15x15  Ø 7-7 mm</t>
  </si>
  <si>
    <t>Desmondante Sika Separol 3.5kg</t>
  </si>
  <si>
    <t>Grapas</t>
  </si>
  <si>
    <t>Poste de Madera</t>
  </si>
  <si>
    <t>Acelerante</t>
  </si>
  <si>
    <t>Piedra de canto rodado</t>
  </si>
  <si>
    <t>Fuidificante para concreto</t>
  </si>
  <si>
    <t>Valla en Tela vinílica con malla de poliester ( banner)</t>
  </si>
  <si>
    <t>Material de peña (Recebo) en cantera</t>
  </si>
  <si>
    <t>Tabla para formaleta 1" x 10" x 2.9m</t>
  </si>
  <si>
    <t>Bisagra de hierro para puerta</t>
  </si>
  <si>
    <t>Listo de sajo de 5 x 3 cm x 2.5m (varilla)</t>
  </si>
  <si>
    <t>Señalizador tubular de 1m (2 lineas de cinta)</t>
  </si>
  <si>
    <t>Tela de cerramiento a=2.10m (Rollo x 100m)</t>
  </si>
  <si>
    <t>Malla eslabonada galvanizada Calibre 12 ojo 2"</t>
  </si>
  <si>
    <t>Tubo de acero gal, de 48 mm y 1,5 mm de espesor</t>
  </si>
  <si>
    <t>Soldadura para hierro estructural</t>
  </si>
  <si>
    <t>Alambre Galvanizado C12</t>
  </si>
  <si>
    <t>Angulo 1" x 1/8"</t>
  </si>
  <si>
    <t>Tubo galvanizado para cerramiento de 1 1/2" x 6m</t>
  </si>
  <si>
    <t>Gasolina</t>
  </si>
  <si>
    <t>ACPM</t>
  </si>
  <si>
    <t>Caseton en eterilla h=0.30 , a=0.65m</t>
  </si>
  <si>
    <t>Malla con vena C24</t>
  </si>
  <si>
    <t>Caseton en eterilla h=0.40 , a=0.65m</t>
  </si>
  <si>
    <t>Caseton en eterilla h=0.45 , a=0.65m</t>
  </si>
  <si>
    <t>Steeldeck, Cal 22 0.94x5.60m - e=0.75mm, Perfil e=1.5mm 90 mm L=6m</t>
  </si>
  <si>
    <t>Tubo EMT 1/2"</t>
  </si>
  <si>
    <t>Curva EMT 1/2"</t>
  </si>
  <si>
    <t>Union EMT 1/2" acero</t>
  </si>
  <si>
    <t>Conector EMT 1/2"</t>
  </si>
  <si>
    <t>Grapa 1 Doble Oreja x 10Und Galvanizada</t>
  </si>
  <si>
    <t>Tubo Conduit PVC 1/2"</t>
  </si>
  <si>
    <t>Curva Conduit PVC 1/2"</t>
  </si>
  <si>
    <t>Adaptador Terminal PVC 1/2"</t>
  </si>
  <si>
    <t>Limpiador PVC</t>
  </si>
  <si>
    <t>Soldadura PVC</t>
  </si>
  <si>
    <t>Caja Rectangular Rawelt 2x4</t>
  </si>
  <si>
    <t>Caja Rectangular Rawelt 4x4</t>
  </si>
  <si>
    <t>Caja 2x4 Metalica galvanizada</t>
  </si>
  <si>
    <t>Cable Cu aislado #12 AWG THHN/THWN</t>
  </si>
  <si>
    <t>Conector para cable</t>
  </si>
  <si>
    <t>Cinta Aislante</t>
  </si>
  <si>
    <t>Tubo Conduit PVC 1"</t>
  </si>
  <si>
    <t>Curva Conduit PVC 1"</t>
  </si>
  <si>
    <t>Adaptador Terminal PVC 1"</t>
  </si>
  <si>
    <t>Cable Cu aislado #10 -#8 AWG THHN/THWN</t>
  </si>
  <si>
    <t xml:space="preserve">Cable Eléctrico Encauchetado 3x12 Awg </t>
  </si>
  <si>
    <t>Tablero monofásico 6 circuitos con barraje de 75 A</t>
  </si>
  <si>
    <t>Interruptor enchufable 1x20 A 10 KA</t>
  </si>
  <si>
    <t>Adhesivo impreso</t>
  </si>
  <si>
    <t>Taco Individual</t>
  </si>
  <si>
    <t>Toma Trifilar 240v</t>
  </si>
  <si>
    <t>Toma corriente normal 2P + T</t>
  </si>
  <si>
    <t>Toma corriente GFCI</t>
  </si>
  <si>
    <t>Roseta plástica (Plafon)</t>
  </si>
  <si>
    <t>Interruptor Simple</t>
  </si>
  <si>
    <t>Panel Led Redondo 9W Luz Blanca</t>
  </si>
  <si>
    <t>Lámpara Colgante 1 Luz</t>
  </si>
  <si>
    <t>Bombillo led</t>
  </si>
  <si>
    <t>Accesorio PVC presion</t>
  </si>
  <si>
    <t>Tuberia PVC presion 1/2"</t>
  </si>
  <si>
    <t>Niple de HG de 1/2" 15cm</t>
  </si>
  <si>
    <t>Tuberia PVC presion 3/4"</t>
  </si>
  <si>
    <t>Niple de HG de 3/4" 15cm</t>
  </si>
  <si>
    <t>Tuberia PVC presion 1"</t>
  </si>
  <si>
    <t>Niple de HG de 1" 15cm</t>
  </si>
  <si>
    <t>Tuberia PVC presion 1 1/4"</t>
  </si>
  <si>
    <t>Niple de HG de 1 1/4" 15cm</t>
  </si>
  <si>
    <t>Tuberia PVC presion 1 1/2"</t>
  </si>
  <si>
    <t>Niple de HG de 1 1/2" 15cm</t>
  </si>
  <si>
    <t>Registro de corte de 1/2"</t>
  </si>
  <si>
    <t>Cheque de 1/2" Presion</t>
  </si>
  <si>
    <t>Cinta de Teflon 10m</t>
  </si>
  <si>
    <t>Adaptador PVC macho de 1/2" presion</t>
  </si>
  <si>
    <t>Adaptador PVC hembra de 1/2" presion</t>
  </si>
  <si>
    <t>Llave de paso 1/2"</t>
  </si>
  <si>
    <t>Soporte bajante PVC agua lluvia</t>
  </si>
  <si>
    <t>Tuberia PVC ventilacion de 2"</t>
  </si>
  <si>
    <t>Tapon de cobre</t>
  </si>
  <si>
    <t>Adaptador macho cobre</t>
  </si>
  <si>
    <t>Tuberia de cobre</t>
  </si>
  <si>
    <t>Accesorio PVC 2" sanitaria</t>
  </si>
  <si>
    <t>Tuberia PVC Sanitaria 2"</t>
  </si>
  <si>
    <t>Accesorio PVC 4" sanitaria</t>
  </si>
  <si>
    <t>Tuberia PVC Sanitaria 4"</t>
  </si>
  <si>
    <t>Valvula de bola 1/2"</t>
  </si>
  <si>
    <t>Valvula de Cheque 1/2"</t>
  </si>
  <si>
    <t>Sanitario ACUAPLUS ultra Bone</t>
  </si>
  <si>
    <t>Sanitario HAPPY REDONDO Single 4.8 litros</t>
  </si>
  <si>
    <t>Sanitario MANANTIAL 4.8 Litros</t>
  </si>
  <si>
    <t>Sanitario AQUAPRO Redondo 3.7 Litros</t>
  </si>
  <si>
    <t>Sanitario ECOCLEAN Single Blanco</t>
  </si>
  <si>
    <t>Sanitario MONTECARLO Novo Redondo</t>
  </si>
  <si>
    <t>Sanitario MONTECARLO Novo Alongado</t>
  </si>
  <si>
    <t>Brida Flexible 4"</t>
  </si>
  <si>
    <t>Brida Flexible 3"</t>
  </si>
  <si>
    <t>Lavamanos colgar ACUACER</t>
  </si>
  <si>
    <t>Lavamanos Pedestal MILANO</t>
  </si>
  <si>
    <t>Lavamanos Colgar MILANO</t>
  </si>
  <si>
    <t xml:space="preserve">Lavamanos Pedestal AVANTI </t>
  </si>
  <si>
    <t>Lavamanos colgar Happy Blanco</t>
  </si>
  <si>
    <t>Lavamanos de Sobreponer</t>
  </si>
  <si>
    <t>Lavaplatos para Cocina</t>
  </si>
  <si>
    <t>Grifería institucional de mesa tipo push para lavamanos</t>
  </si>
  <si>
    <t>Grifería para Lavamanos Monocontrol</t>
  </si>
  <si>
    <t>Grifería para Lavamanos NOGAL</t>
  </si>
  <si>
    <t>Grifería Lavaplatos Monocontrol</t>
  </si>
  <si>
    <t>Grifería sencilla lavaplatos</t>
  </si>
  <si>
    <t>Grifería lavaplatos con mezclador</t>
  </si>
  <si>
    <t>Kit Lavaplatos con Desague Tipo Push</t>
  </si>
  <si>
    <t>Kit Lavamos con Desague Sencillo</t>
  </si>
  <si>
    <t>Kit Lavamos con Desague Tipo Push</t>
  </si>
  <si>
    <t>Kit Instalacion Sanitario</t>
  </si>
  <si>
    <t>Kit Instalacion Lavaplatos</t>
  </si>
  <si>
    <t>Kit por 6 Accesorios de baño</t>
  </si>
  <si>
    <t>Ducha doble Manija</t>
  </si>
  <si>
    <t>Ducha sencilla cromo</t>
  </si>
  <si>
    <t>Mezclador de Ducha</t>
  </si>
  <si>
    <t>Rejilla de piso Plastica 3x2</t>
  </si>
  <si>
    <t>Rejilla de piso Metalica 3x2</t>
  </si>
  <si>
    <t>Mesón en acero inox para cocineta 150x55cm + Poceta</t>
  </si>
  <si>
    <t>Mesón en acero inox para cocineta 150x55cm + Poceta y 4 Puestos coccion</t>
  </si>
  <si>
    <t>Mesón en Quarstone</t>
  </si>
  <si>
    <t>Babero en Quarstone hasta 10cm</t>
  </si>
  <si>
    <t>Salpicadero en Quarstone hasta 10cm</t>
  </si>
  <si>
    <t>Pega para Piedra</t>
  </si>
  <si>
    <t>Mueble Inferior Madera aglomerada RH</t>
  </si>
  <si>
    <t>Mueble Superior Madera aglomerada RH</t>
  </si>
  <si>
    <t>Mueble Madera Aglomerada para Closet</t>
  </si>
  <si>
    <t>Detergente</t>
  </si>
  <si>
    <t>Limpiavidrios</t>
  </si>
  <si>
    <t>Puerta Metalica y Lamina de 0.80x2.10m</t>
  </si>
  <si>
    <t>Bisagra de hierro para Puerta X3</t>
  </si>
  <si>
    <t>Chapa Pomo Entrada Principal Acero</t>
  </si>
  <si>
    <t>Chapa Pomo Alcoba Acero</t>
  </si>
  <si>
    <t>Chapa Pomo Baño Acero</t>
  </si>
  <si>
    <t>----------------------------</t>
  </si>
  <si>
    <t>COSTO DIRECTO DEL PROYECTO</t>
  </si>
  <si>
    <t>DURACION DEL PROYECTO (MESES)</t>
  </si>
  <si>
    <t>I.V.A (sobre utilidad)</t>
  </si>
  <si>
    <t>TOTAL PROYECTO (A)</t>
  </si>
  <si>
    <t>DETALLE DE LOS COSTOS ADMINISTRATIVOS</t>
  </si>
  <si>
    <t>1. PERSONAL POR ADMINISTRACION</t>
  </si>
  <si>
    <t>CANT</t>
  </si>
  <si>
    <t>MESES</t>
  </si>
  <si>
    <t>SAL. BASICO</t>
  </si>
  <si>
    <t>VR. TOTAL</t>
  </si>
  <si>
    <t>PORCENTAJE</t>
  </si>
  <si>
    <t>Ingeniero Director</t>
  </si>
  <si>
    <t>Tecnólogo</t>
  </si>
  <si>
    <t>Encargados de obra</t>
  </si>
  <si>
    <t>Profesional en Seguridad Industrial</t>
  </si>
  <si>
    <t>Tecnologo socio  Ambiental</t>
  </si>
  <si>
    <t>Secretaria</t>
  </si>
  <si>
    <t>Celaduria</t>
  </si>
  <si>
    <t>Almacenista</t>
  </si>
  <si>
    <t>TOTAL PERSONAL ADMINISTRATIVO</t>
  </si>
  <si>
    <t>2. GASTOS GENERALES</t>
  </si>
  <si>
    <t>TARIFA</t>
  </si>
  <si>
    <t>Servicios publicos</t>
  </si>
  <si>
    <t>MES</t>
  </si>
  <si>
    <t>Plan de gestión de implementación de obra</t>
  </si>
  <si>
    <t>Oficina principal</t>
  </si>
  <si>
    <t>Papeleria</t>
  </si>
  <si>
    <t>Equipos de computo</t>
  </si>
  <si>
    <t>Equipos de comunicación</t>
  </si>
  <si>
    <t>Transporte personal a obra</t>
  </si>
  <si>
    <t>TOTAL GASTOS GENERALES</t>
  </si>
  <si>
    <t>3. GASTOS LEGALES, JURIDICOS Y TRIBUTARIOS</t>
  </si>
  <si>
    <t>RESUMEN DE LOS COSTOS POR ADMINISTRACION</t>
  </si>
  <si>
    <t>TOTALES</t>
  </si>
  <si>
    <t>Personal por Administración</t>
  </si>
  <si>
    <t>Gastos generales</t>
  </si>
  <si>
    <t>Gastos legales, juridicos y tributarios</t>
  </si>
  <si>
    <t>TOTAL GASTOS POR ADMINISTRACION</t>
  </si>
  <si>
    <t>COMPOSICION DE PORCENTAJES DE ADMINISTRACION, IMPREVISTOS Y UTILIDADES</t>
  </si>
  <si>
    <t>Administración</t>
  </si>
  <si>
    <t>Imprevisto</t>
  </si>
  <si>
    <t>TOTAL A.I.U</t>
  </si>
  <si>
    <t>Cemento gris Uso Gnral 50kg</t>
  </si>
  <si>
    <t>Teja Cerámica</t>
  </si>
  <si>
    <t>Canoa Metálica</t>
  </si>
  <si>
    <t>Soporte de canoa</t>
  </si>
  <si>
    <t>Canoa - Canal Plástica</t>
  </si>
  <si>
    <t>Accesorio PVC para Canoa</t>
  </si>
  <si>
    <t>Puerta Madera de 0.80x2.10m</t>
  </si>
  <si>
    <t>Puerta Madera de 0.70x2.10m</t>
  </si>
  <si>
    <t>Puerta Metalica de 1.00x2.10m</t>
  </si>
  <si>
    <t>Mesón en acero inoxidable 100x55cm + Pozuelo</t>
  </si>
  <si>
    <t>Impermeabilizante acrilico</t>
  </si>
  <si>
    <t>Perfil cal 18 (6m)</t>
  </si>
  <si>
    <t>Adoquín de concreto 200x100x60 mm</t>
  </si>
  <si>
    <t>Reflector Led 200w Intemperie</t>
  </si>
  <si>
    <t>Ladrillo Farol #6</t>
  </si>
  <si>
    <t>Hidrofugo Siliconite Transparente</t>
  </si>
  <si>
    <t>16m2</t>
  </si>
  <si>
    <t>Limpiador fachada de ladrillo</t>
  </si>
  <si>
    <t>20m2</t>
  </si>
  <si>
    <t>Gramoquín 400x400x80 mm</t>
  </si>
  <si>
    <t>Pefil U de remate en Aluminio</t>
  </si>
  <si>
    <t>Kit Conector Tapa Y Base</t>
  </si>
  <si>
    <t>Cinta Antidust 25mm</t>
  </si>
  <si>
    <t>Chapa Candado Puerta Corrediza</t>
  </si>
  <si>
    <t>Lamina en Acero Inoxidable Cal18</t>
  </si>
  <si>
    <t>Soporte de Pared en Acero Inox</t>
  </si>
  <si>
    <t>Sanitario Taza Báltica entrada posterior</t>
  </si>
  <si>
    <t>Válvula para Sanitario Push</t>
  </si>
  <si>
    <t>Lavamanos Estación de lavado fijación muro</t>
  </si>
  <si>
    <t>Tubo Cuadrado 11/2" x 11/2" x 1.2mm C18</t>
  </si>
  <si>
    <t>Angulo 25 x 2.5mm</t>
  </si>
  <si>
    <t>Lamina Policarbonato 8mm</t>
  </si>
  <si>
    <t>COMPOSICION DEL PORCENTAJE DE ADMINISTRACION Y UTILIDAD</t>
  </si>
  <si>
    <t>Plan Ambiental, Seguridad y Transito</t>
  </si>
  <si>
    <t>Póliza</t>
  </si>
  <si>
    <t>Impuesto de contribución especial 5%</t>
  </si>
  <si>
    <t>Estampilla Pro Cultura</t>
  </si>
  <si>
    <t xml:space="preserve">Estampilla Hospital </t>
  </si>
  <si>
    <t>Estampilla Pro deporte y recreacion</t>
  </si>
  <si>
    <t>Municipio de Santa Fe de Antioquia</t>
  </si>
  <si>
    <t>SECRETARÍA DE INFRAESTRUCTURA</t>
  </si>
  <si>
    <t>PRELIMINARES</t>
  </si>
  <si>
    <t>1.1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</si>
  <si>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-km</t>
    </r>
  </si>
  <si>
    <t>Precio Unitario</t>
  </si>
  <si>
    <t>Localización y replanteo</t>
  </si>
  <si>
    <t>2.1</t>
  </si>
  <si>
    <t>2.2</t>
  </si>
  <si>
    <t>3.1</t>
  </si>
  <si>
    <t>3.2</t>
  </si>
  <si>
    <t>3.3</t>
  </si>
  <si>
    <t>día</t>
  </si>
  <si>
    <t>Andamio</t>
  </si>
  <si>
    <t>dia</t>
  </si>
  <si>
    <t>4.1</t>
  </si>
  <si>
    <t>4.2</t>
  </si>
  <si>
    <t>Malla Insectos Huecos 9x10mm</t>
  </si>
  <si>
    <t>5.1</t>
  </si>
  <si>
    <t>Imprimante Acrílico</t>
  </si>
  <si>
    <t>5.2</t>
  </si>
  <si>
    <t>5.3</t>
  </si>
  <si>
    <t>5.4</t>
  </si>
  <si>
    <t>cuñete</t>
  </si>
  <si>
    <t>Piso tipo gres</t>
  </si>
  <si>
    <t>Puerta Madera de 0.90 a 1.10</t>
  </si>
  <si>
    <t>Puerta Madera de 0.66 a 0.89</t>
  </si>
  <si>
    <t>Topepuerta</t>
  </si>
  <si>
    <t>Puerts Madera + Vidrio</t>
  </si>
  <si>
    <t>Puerta Metalica de 2.00x2.10m</t>
  </si>
  <si>
    <t>Bastidor 100x40x2</t>
  </si>
  <si>
    <t>Bastidor 80x40x2</t>
  </si>
  <si>
    <t>Barrotes verticales de 20x20x1</t>
  </si>
  <si>
    <t>CUBIERTA</t>
  </si>
  <si>
    <t>Perfil Metálico</t>
  </si>
  <si>
    <t>Cubierta inclinada de placas UPVC cresta alta 2,5mm espesor, fijadas mecánicamente, con una pendiente entre 5% al 10%. Incluye elementos de fijación, accesorios, juntas, remates perimetrales, sello de anclajes y otras piezas de remate para la resolución de puntos singulares.</t>
  </si>
  <si>
    <t>SUMINISTO, TRANSPORTE E INSTALACION DE EMBUDOS EN LAMINA GALVANIZADA Cal .26</t>
  </si>
  <si>
    <t>Embudo galvanizado</t>
  </si>
  <si>
    <t xml:space="preserve">Suministro, transporte e instalación de CANOA en lamina galvanizada Cal .24 d/ 0.80 m. Incluye 2 manos de anticorrosivo WASH PRIMER + esmalte + anclaje a muro +tapas laterales + sikaflex 1A) Color por definir por interventoría. </t>
  </si>
  <si>
    <t>INSTALACIONES HIDRÁULICAS Y SANITARIAS</t>
  </si>
  <si>
    <t>SUMINISTRO Y COLOCACIÓN DE TUBERÍA PVC-SANITARIA PVC 3" (Red sanitaria y/o Lluvia) Incluye excavación manual, cancha en muros y/o pisos, , instalación y accesorios.</t>
  </si>
  <si>
    <t>Tuberia PVC de 3"</t>
  </si>
  <si>
    <t>Accesorio PVC 3"</t>
  </si>
  <si>
    <t>SUMINISTRO Y COLOCACIÓN DE REJILLA DE PISO EN ALUMINIO. Ø =  3".</t>
  </si>
  <si>
    <t>Lavatraperos prefabricado</t>
  </si>
  <si>
    <t>Granito #1</t>
  </si>
  <si>
    <t>bt</t>
  </si>
  <si>
    <t>Ventana en Aluminio crudo de 0.70x0.50m</t>
  </si>
  <si>
    <t>Ventana en Aluminio crudo de 1.20x0.50m</t>
  </si>
  <si>
    <t>Ventana en Aluminio crudo de 0.50x1.80m</t>
  </si>
  <si>
    <t>INSTALACIONES ELECTRICAS</t>
  </si>
  <si>
    <t xml:space="preserve">Interruptor Conmutable </t>
  </si>
  <si>
    <t>Panel Led Empotrar 18W Luz Fría</t>
  </si>
  <si>
    <t>Reflector Led 50W Ip65</t>
  </si>
  <si>
    <t>Suministro, transporte e instalación de salida eléctrica de interruptor sencillo. Incluye aparato electrico con tapa suplemento, conectores de conexión y empalme, adaptadores terminales, curvas, tornillos, y demás accesorios y elementos para su correcta instalación y funcionamiento. Hasta 3 MTS de salida.</t>
  </si>
  <si>
    <t>Suministro e instalación Panel Led Empotrar Cuadrado 18W Luz Fría. Incluye salida electrica, caja 4x4 o similar, tapa suplemento, conectores de conexión, adaptadores terminales, curvas, tornillos, 3 metros de cable encauchetado, elementos de fijación y demás elementos necesarios para su correcta instalación.</t>
  </si>
  <si>
    <t>Estampilla Adulto Mayor</t>
  </si>
  <si>
    <t>Puerta Metalica de 1.00-1.20m x 2.20</t>
  </si>
  <si>
    <t>Placa Juan</t>
  </si>
  <si>
    <t>Aplicación de Pintura Esmalte sintético para Metal, de primera calidad sobre elementos metalicos, dos manos o las necesarias hasta obtener una superficie pareja y homogénea. Incluye suministro y transporte de los materiales, resanes y adecuación de la superficie a intervenir hasta obtener una superficie pareja y homogénea, color a definir según aprobación de la interventoría.</t>
  </si>
  <si>
    <t>Barra de Seguridad 5.2x6.3x54.6</t>
  </si>
  <si>
    <t>Suministro, transporte e instalación de cableado eléctrico, incluye tubería EMT, conectores de conexión y empalme, adaptadores terminales, curvas, tornillos, y demás accesorios y elementos para su correcta instalación y funcionamiento.</t>
  </si>
  <si>
    <t>Andamios</t>
  </si>
  <si>
    <t>REVOQUE - PINTURA</t>
  </si>
  <si>
    <t>Aplicación de Pintura Tipo I, de primera calidad sobre muros revocados y/o estucados, tres manos o las necesarias hasta obtener una superficie pareja y homogénea. Incluye suministro y transporte de los materiales, resanes, tapa poros en estuco plástico tipo plastestuco o equivalente diluido en agua proporción 1:2, adecuación de la superficie a intervenir hasta obtener una superficie pareja y homogénea, color a definir según aprobación de la interventoría.</t>
  </si>
  <si>
    <t>1. ADECUACIÓN Y MEJORAMIENTO A INFRAESTRUCTURA BODEGA MUNICIPAL, SANTA FE DE ANTIOQUIA, ANTIOQUIA.</t>
  </si>
  <si>
    <t>ADECUACIÓN Y MEJORAMIENTO A INFRAESTRUCTURA BODEGA MUNICIPAL, SANTA FE DE ANTIOQUIA, ANTIOQUIA.</t>
  </si>
  <si>
    <t>Escalera Tipo Tijeras</t>
  </si>
  <si>
    <t>Pintura Esmalte para metal</t>
  </si>
  <si>
    <t>Disolvente</t>
  </si>
  <si>
    <t>Suministro e instalación Reflector Led 100W Ip65. Incluye salida electrica, caja 4x4 o similar, tapa suplemento, conectores de conexión, adaptadores terminales, curvas, tornillos, 3 metros de cable encauchetado, elementos de fijación y demás elementos necesarios para su correcta instalación.</t>
  </si>
  <si>
    <t>Reflector Led 100W Ip65</t>
  </si>
  <si>
    <t>gl/4</t>
  </si>
  <si>
    <t>Ingeniero, constructor y/o arquitecto Residente</t>
  </si>
  <si>
    <t>AU</t>
  </si>
  <si>
    <t>A.I.U (26%)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</si>
</sst>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_-;\-&quot;$&quot;* #,##0_-;_-&quot;$&quot;* &quot;-&quot;_-;_-@_-"/>
    <numFmt numFmtId="166" formatCode="&quot;$&quot;\ #,##0.00"/>
    <numFmt numFmtId="167" formatCode="[$$-2C0A]#,##0.00;\([$$-2C0A]#,##0.00\)"/>
    <numFmt numFmtId="168" formatCode="[$$-2C0A]\ #,##0.00"/>
    <numFmt numFmtId="169" formatCode="#&quot; m²&quot;"/>
    <numFmt numFmtId="170" formatCode="#&quot; ml&quot;"/>
    <numFmt numFmtId="171" formatCode="_(&quot;$&quot;\ * #,##0_);_(&quot;$&quot;\ * \(#,##0\);_(&quot;$&quot;\ * &quot;-&quot;??_);_(@_)"/>
    <numFmt numFmtId="172" formatCode="&quot;$&quot;\ #,##0"/>
    <numFmt numFmtId="173" formatCode="_(&quot;$&quot;\ * #,##0.00_);_(&quot;$&quot;\ * \(#,##0.00\);_(&quot;$&quot;\ * &quot;-&quot;??_);_(@_)"/>
    <numFmt numFmtId="174" formatCode="0.000%"/>
    <numFmt numFmtId="175" formatCode="0.0000%"/>
    <numFmt numFmtId="176" formatCode="&quot;$&quot;\ #,##0.00_);\(&quot;$&quot;\ #,##0.00\)"/>
    <numFmt numFmtId="177" formatCode="&quot;$&quot;\ #,##0_);\(&quot;$&quot;\ #,##0\)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6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i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  <charset val="1"/>
    </font>
    <font>
      <sz val="10"/>
      <color indexed="8"/>
      <name val="Calibri"/>
      <family val="2"/>
      <charset val="1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sz val="10"/>
      <color rgb="FF333232"/>
      <name val="Var(--font-stack-header)"/>
    </font>
    <font>
      <sz val="11"/>
      <color rgb="FF333232"/>
      <name val="Arial"/>
      <family val="2"/>
    </font>
    <font>
      <sz val="10"/>
      <color rgb="FFFF0000"/>
      <name val="Arial"/>
      <family val="2"/>
    </font>
    <font>
      <b/>
      <sz val="12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vertAlign val="superscript"/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BE2EC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 style="medium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 tint="-4.9989318521683403E-2"/>
      </bottom>
      <diagonal/>
    </border>
  </borders>
  <cellStyleXfs count="12">
    <xf numFmtId="0" fontId="0" fillId="0" borderId="0"/>
    <xf numFmtId="0" fontId="2" fillId="0" borderId="0"/>
    <xf numFmtId="0" fontId="2" fillId="0" borderId="0"/>
    <xf numFmtId="0" fontId="1" fillId="0" borderId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302">
    <xf numFmtId="0" fontId="0" fillId="0" borderId="0" xfId="0"/>
    <xf numFmtId="0" fontId="9" fillId="0" borderId="11" xfId="7" applyBorder="1"/>
    <xf numFmtId="0" fontId="9" fillId="0" borderId="13" xfId="7" applyBorder="1"/>
    <xf numFmtId="0" fontId="9" fillId="0" borderId="0" xfId="7"/>
    <xf numFmtId="0" fontId="9" fillId="0" borderId="6" xfId="7" applyBorder="1"/>
    <xf numFmtId="0" fontId="9" fillId="0" borderId="8" xfId="7" applyBorder="1"/>
    <xf numFmtId="0" fontId="4" fillId="0" borderId="0" xfId="2" applyFont="1" applyAlignment="1">
      <alignment vertical="center"/>
    </xf>
    <xf numFmtId="0" fontId="6" fillId="5" borderId="20" xfId="2" applyFont="1" applyFill="1" applyBorder="1" applyAlignment="1">
      <alignment horizontal="center" vertical="center"/>
    </xf>
    <xf numFmtId="0" fontId="12" fillId="0" borderId="0" xfId="7" applyFont="1"/>
    <xf numFmtId="0" fontId="9" fillId="0" borderId="0" xfId="7" applyAlignment="1">
      <alignment horizontal="center"/>
    </xf>
    <xf numFmtId="166" fontId="9" fillId="0" borderId="0" xfId="7" applyNumberFormat="1" applyAlignment="1">
      <alignment horizontal="right"/>
    </xf>
    <xf numFmtId="167" fontId="13" fillId="0" borderId="0" xfId="7" applyNumberFormat="1" applyFont="1" applyAlignment="1">
      <alignment horizontal="right"/>
    </xf>
    <xf numFmtId="168" fontId="13" fillId="0" borderId="0" xfId="7" applyNumberFormat="1" applyFont="1" applyAlignment="1">
      <alignment horizontal="right"/>
    </xf>
    <xf numFmtId="167" fontId="9" fillId="0" borderId="0" xfId="7" applyNumberFormat="1" applyAlignment="1">
      <alignment horizontal="right"/>
    </xf>
    <xf numFmtId="169" fontId="9" fillId="0" borderId="0" xfId="7" applyNumberFormat="1" applyAlignment="1">
      <alignment horizontal="center"/>
    </xf>
    <xf numFmtId="0" fontId="14" fillId="4" borderId="0" xfId="2" applyFont="1" applyFill="1" applyAlignment="1">
      <alignment horizontal="center" vertical="center"/>
    </xf>
    <xf numFmtId="0" fontId="14" fillId="4" borderId="0" xfId="2" applyFont="1" applyFill="1" applyAlignment="1">
      <alignment horizontal="left" vertical="center"/>
    </xf>
    <xf numFmtId="0" fontId="14" fillId="4" borderId="0" xfId="2" quotePrefix="1" applyFont="1" applyFill="1" applyAlignment="1">
      <alignment horizontal="center" vertical="center"/>
    </xf>
    <xf numFmtId="0" fontId="14" fillId="4" borderId="0" xfId="2" quotePrefix="1" applyFont="1" applyFill="1" applyAlignment="1">
      <alignment horizontal="right" vertical="center"/>
    </xf>
    <xf numFmtId="166" fontId="14" fillId="4" borderId="0" xfId="2" applyNumberFormat="1" applyFont="1" applyFill="1" applyAlignment="1">
      <alignment horizontal="center" vertical="center"/>
    </xf>
    <xf numFmtId="0" fontId="9" fillId="0" borderId="0" xfId="7" applyAlignment="1">
      <alignment horizontal="right"/>
    </xf>
    <xf numFmtId="0" fontId="12" fillId="0" borderId="0" xfId="7" applyFont="1" applyAlignment="1">
      <alignment horizontal="center"/>
    </xf>
    <xf numFmtId="2" fontId="12" fillId="0" borderId="0" xfId="7" applyNumberFormat="1" applyFont="1" applyAlignment="1">
      <alignment horizontal="center"/>
    </xf>
    <xf numFmtId="166" fontId="15" fillId="0" borderId="0" xfId="7" applyNumberFormat="1" applyFont="1" applyAlignment="1">
      <alignment horizontal="center"/>
    </xf>
    <xf numFmtId="169" fontId="12" fillId="0" borderId="0" xfId="7" applyNumberFormat="1" applyFont="1" applyAlignment="1">
      <alignment horizontal="center"/>
    </xf>
    <xf numFmtId="167" fontId="12" fillId="0" borderId="0" xfId="7" applyNumberFormat="1" applyFont="1" applyAlignment="1">
      <alignment horizontal="right"/>
    </xf>
    <xf numFmtId="170" fontId="12" fillId="0" borderId="0" xfId="7" applyNumberFormat="1" applyFont="1" applyAlignment="1">
      <alignment horizontal="center"/>
    </xf>
    <xf numFmtId="0" fontId="12" fillId="0" borderId="0" xfId="7" applyFont="1" applyAlignment="1">
      <alignment horizontal="right"/>
    </xf>
    <xf numFmtId="170" fontId="9" fillId="0" borderId="0" xfId="7" applyNumberFormat="1" applyAlignment="1">
      <alignment horizontal="center"/>
    </xf>
    <xf numFmtId="2" fontId="9" fillId="0" borderId="0" xfId="7" applyNumberFormat="1" applyAlignment="1">
      <alignment horizontal="center"/>
    </xf>
    <xf numFmtId="4" fontId="9" fillId="0" borderId="0" xfId="7" applyNumberFormat="1" applyAlignment="1">
      <alignment horizontal="center"/>
    </xf>
    <xf numFmtId="168" fontId="9" fillId="0" borderId="0" xfId="7" applyNumberFormat="1" applyAlignment="1">
      <alignment horizontal="right"/>
    </xf>
    <xf numFmtId="167" fontId="9" fillId="0" borderId="0" xfId="7" applyNumberFormat="1" applyAlignment="1">
      <alignment horizontal="center"/>
    </xf>
    <xf numFmtId="2" fontId="16" fillId="0" borderId="0" xfId="7" applyNumberFormat="1" applyFont="1" applyAlignment="1">
      <alignment horizontal="left"/>
    </xf>
    <xf numFmtId="0" fontId="16" fillId="0" borderId="0" xfId="7" applyFont="1" applyAlignment="1">
      <alignment horizontal="left"/>
    </xf>
    <xf numFmtId="0" fontId="17" fillId="0" borderId="0" xfId="7" applyFont="1"/>
    <xf numFmtId="2" fontId="9" fillId="0" borderId="0" xfId="7" applyNumberFormat="1"/>
    <xf numFmtId="168" fontId="17" fillId="0" borderId="0" xfId="7" applyNumberFormat="1" applyFont="1"/>
    <xf numFmtId="0" fontId="18" fillId="0" borderId="0" xfId="7" applyFont="1" applyAlignment="1">
      <alignment vertical="center"/>
    </xf>
    <xf numFmtId="0" fontId="18" fillId="0" borderId="0" xfId="7" applyFont="1" applyAlignment="1">
      <alignment horizontal="center" vertical="center"/>
    </xf>
    <xf numFmtId="0" fontId="9" fillId="0" borderId="0" xfId="7" applyAlignment="1">
      <alignment vertical="center"/>
    </xf>
    <xf numFmtId="0" fontId="18" fillId="0" borderId="0" xfId="7" applyFont="1" applyAlignment="1">
      <alignment horizontal="left" vertical="center"/>
    </xf>
    <xf numFmtId="0" fontId="9" fillId="0" borderId="0" xfId="7" applyAlignment="1">
      <alignment vertical="center" wrapText="1"/>
    </xf>
    <xf numFmtId="0" fontId="18" fillId="0" borderId="0" xfId="7" applyFont="1" applyAlignment="1">
      <alignment vertical="center" wrapText="1"/>
    </xf>
    <xf numFmtId="0" fontId="18" fillId="0" borderId="0" xfId="7" applyFont="1" applyAlignment="1">
      <alignment horizontal="left" vertical="center" wrapText="1"/>
    </xf>
    <xf numFmtId="0" fontId="19" fillId="0" borderId="0" xfId="7" applyFont="1" applyAlignment="1">
      <alignment vertical="center" wrapText="1"/>
    </xf>
    <xf numFmtId="0" fontId="9" fillId="0" borderId="0" xfId="7" applyAlignment="1">
      <alignment wrapText="1"/>
    </xf>
    <xf numFmtId="49" fontId="9" fillId="0" borderId="0" xfId="7" applyNumberFormat="1" applyAlignment="1">
      <alignment vertical="center" wrapText="1"/>
    </xf>
    <xf numFmtId="0" fontId="20" fillId="0" borderId="21" xfId="2" applyFont="1" applyBorder="1" applyAlignment="1">
      <alignment horizontal="center" vertical="center"/>
    </xf>
    <xf numFmtId="166" fontId="20" fillId="0" borderId="22" xfId="2" applyNumberFormat="1" applyFont="1" applyBorder="1" applyAlignment="1">
      <alignment horizontal="center" vertical="center"/>
    </xf>
    <xf numFmtId="2" fontId="20" fillId="0" borderId="21" xfId="2" applyNumberFormat="1" applyFont="1" applyBorder="1" applyAlignment="1">
      <alignment horizontal="center" vertical="center"/>
    </xf>
    <xf numFmtId="0" fontId="21" fillId="4" borderId="4" xfId="2" applyFont="1" applyFill="1" applyBorder="1" applyAlignment="1">
      <alignment horizontal="center" vertical="center"/>
    </xf>
    <xf numFmtId="0" fontId="2" fillId="0" borderId="0" xfId="2"/>
    <xf numFmtId="0" fontId="2" fillId="2" borderId="4" xfId="2" applyFill="1" applyBorder="1"/>
    <xf numFmtId="164" fontId="0" fillId="2" borderId="4" xfId="8" applyFont="1" applyFill="1" applyBorder="1"/>
    <xf numFmtId="0" fontId="2" fillId="7" borderId="4" xfId="2" applyFill="1" applyBorder="1"/>
    <xf numFmtId="164" fontId="0" fillId="7" borderId="4" xfId="8" applyFont="1" applyFill="1" applyBorder="1"/>
    <xf numFmtId="0" fontId="2" fillId="8" borderId="4" xfId="2" applyFill="1" applyBorder="1"/>
    <xf numFmtId="164" fontId="0" fillId="8" borderId="4" xfId="8" applyFont="1" applyFill="1" applyBorder="1"/>
    <xf numFmtId="0" fontId="2" fillId="9" borderId="23" xfId="2" applyFill="1" applyBorder="1"/>
    <xf numFmtId="164" fontId="0" fillId="9" borderId="23" xfId="8" applyFont="1" applyFill="1" applyBorder="1"/>
    <xf numFmtId="0" fontId="2" fillId="0" borderId="23" xfId="2" applyBorder="1"/>
    <xf numFmtId="0" fontId="2" fillId="10" borderId="1" xfId="2" applyFill="1" applyBorder="1"/>
    <xf numFmtId="164" fontId="0" fillId="0" borderId="2" xfId="8" applyFont="1" applyBorder="1"/>
    <xf numFmtId="0" fontId="2" fillId="10" borderId="3" xfId="2" applyFill="1" applyBorder="1"/>
    <xf numFmtId="164" fontId="0" fillId="0" borderId="5" xfId="8" applyFont="1" applyBorder="1"/>
    <xf numFmtId="0" fontId="2" fillId="10" borderId="17" xfId="2" applyFill="1" applyBorder="1"/>
    <xf numFmtId="164" fontId="0" fillId="0" borderId="19" xfId="8" applyFont="1" applyBorder="1"/>
    <xf numFmtId="0" fontId="2" fillId="0" borderId="1" xfId="2" applyBorder="1"/>
    <xf numFmtId="0" fontId="2" fillId="0" borderId="3" xfId="2" applyBorder="1"/>
    <xf numFmtId="0" fontId="2" fillId="0" borderId="17" xfId="2" applyBorder="1"/>
    <xf numFmtId="0" fontId="2" fillId="0" borderId="24" xfId="2" applyBorder="1"/>
    <xf numFmtId="164" fontId="2" fillId="0" borderId="24" xfId="2" applyNumberFormat="1" applyBorder="1"/>
    <xf numFmtId="0" fontId="2" fillId="0" borderId="4" xfId="2" applyBorder="1"/>
    <xf numFmtId="166" fontId="20" fillId="6" borderId="27" xfId="2" applyNumberFormat="1" applyFont="1" applyFill="1" applyBorder="1" applyAlignment="1">
      <alignment horizontal="center" vertical="center"/>
    </xf>
    <xf numFmtId="0" fontId="6" fillId="5" borderId="20" xfId="2" applyFont="1" applyFill="1" applyBorder="1" applyAlignment="1">
      <alignment horizontal="centerContinuous" vertical="center"/>
    </xf>
    <xf numFmtId="0" fontId="9" fillId="0" borderId="0" xfId="7" applyAlignment="1">
      <alignment horizontal="justify" vertical="distributed"/>
    </xf>
    <xf numFmtId="0" fontId="20" fillId="0" borderId="21" xfId="2" applyFont="1" applyBorder="1" applyAlignment="1">
      <alignment horizontal="center" vertical="distributed"/>
    </xf>
    <xf numFmtId="2" fontId="20" fillId="0" borderId="21" xfId="2" applyNumberFormat="1" applyFont="1" applyBorder="1" applyAlignment="1">
      <alignment horizontal="center" vertical="distributed"/>
    </xf>
    <xf numFmtId="164" fontId="2" fillId="0" borderId="4" xfId="2" applyNumberFormat="1" applyBorder="1"/>
    <xf numFmtId="0" fontId="23" fillId="12" borderId="31" xfId="2" applyFont="1" applyFill="1" applyBorder="1" applyAlignment="1">
      <alignment horizontal="center" vertical="center" wrapText="1"/>
    </xf>
    <xf numFmtId="0" fontId="23" fillId="12" borderId="32" xfId="2" applyFont="1" applyFill="1" applyBorder="1" applyAlignment="1">
      <alignment horizontal="left" vertical="center" wrapText="1" indent="1"/>
    </xf>
    <xf numFmtId="0" fontId="23" fillId="12" borderId="33" xfId="2" applyFont="1" applyFill="1" applyBorder="1" applyAlignment="1">
      <alignment horizontal="left" vertical="center" wrapText="1" indent="1"/>
    </xf>
    <xf numFmtId="0" fontId="24" fillId="12" borderId="34" xfId="2" applyFont="1" applyFill="1" applyBorder="1" applyAlignment="1">
      <alignment horizontal="center" vertical="center" wrapText="1"/>
    </xf>
    <xf numFmtId="0" fontId="24" fillId="4" borderId="24" xfId="2" applyFont="1" applyFill="1" applyBorder="1" applyAlignment="1">
      <alignment horizontal="center" vertical="center" wrapText="1"/>
    </xf>
    <xf numFmtId="3" fontId="24" fillId="4" borderId="35" xfId="2" applyNumberFormat="1" applyFont="1" applyFill="1" applyBorder="1" applyAlignment="1">
      <alignment horizontal="center" vertical="center" wrapText="1"/>
    </xf>
    <xf numFmtId="0" fontId="24" fillId="9" borderId="3" xfId="2" applyFont="1" applyFill="1" applyBorder="1" applyAlignment="1">
      <alignment horizontal="center" vertical="center" wrapText="1"/>
    </xf>
    <xf numFmtId="0" fontId="24" fillId="12" borderId="4" xfId="2" applyFont="1" applyFill="1" applyBorder="1" applyAlignment="1">
      <alignment horizontal="center" vertical="center" wrapText="1"/>
    </xf>
    <xf numFmtId="0" fontId="24" fillId="12" borderId="5" xfId="2" applyFont="1" applyFill="1" applyBorder="1" applyAlignment="1">
      <alignment horizontal="center" vertical="center" wrapText="1"/>
    </xf>
    <xf numFmtId="0" fontId="24" fillId="7" borderId="3" xfId="2" applyFont="1" applyFill="1" applyBorder="1" applyAlignment="1">
      <alignment horizontal="center" vertical="center" wrapText="1"/>
    </xf>
    <xf numFmtId="0" fontId="24" fillId="4" borderId="4" xfId="2" applyFont="1" applyFill="1" applyBorder="1" applyAlignment="1">
      <alignment horizontal="center" vertical="center" wrapText="1"/>
    </xf>
    <xf numFmtId="3" fontId="24" fillId="4" borderId="5" xfId="2" applyNumberFormat="1" applyFont="1" applyFill="1" applyBorder="1" applyAlignment="1">
      <alignment horizontal="center" vertical="center" wrapText="1"/>
    </xf>
    <xf numFmtId="0" fontId="24" fillId="12" borderId="3" xfId="2" applyFont="1" applyFill="1" applyBorder="1" applyAlignment="1">
      <alignment horizontal="center" vertical="center" wrapText="1"/>
    </xf>
    <xf numFmtId="3" fontId="24" fillId="12" borderId="4" xfId="2" applyNumberFormat="1" applyFont="1" applyFill="1" applyBorder="1" applyAlignment="1">
      <alignment horizontal="center" vertical="center" wrapText="1"/>
    </xf>
    <xf numFmtId="3" fontId="24" fillId="12" borderId="5" xfId="2" applyNumberFormat="1" applyFont="1" applyFill="1" applyBorder="1" applyAlignment="1">
      <alignment horizontal="center" vertical="center" wrapText="1"/>
    </xf>
    <xf numFmtId="3" fontId="24" fillId="4" borderId="4" xfId="2" applyNumberFormat="1" applyFont="1" applyFill="1" applyBorder="1" applyAlignment="1">
      <alignment horizontal="center" vertical="center" wrapText="1"/>
    </xf>
    <xf numFmtId="0" fontId="24" fillId="4" borderId="5" xfId="2" applyFont="1" applyFill="1" applyBorder="1" applyAlignment="1">
      <alignment horizontal="center" vertical="center" wrapText="1"/>
    </xf>
    <xf numFmtId="0" fontId="24" fillId="12" borderId="17" xfId="2" applyFont="1" applyFill="1" applyBorder="1" applyAlignment="1">
      <alignment horizontal="center" vertical="center" wrapText="1"/>
    </xf>
    <xf numFmtId="0" fontId="24" fillId="4" borderId="18" xfId="2" applyFont="1" applyFill="1" applyBorder="1" applyAlignment="1">
      <alignment horizontal="center" vertical="center" wrapText="1"/>
    </xf>
    <xf numFmtId="3" fontId="24" fillId="4" borderId="18" xfId="2" applyNumberFormat="1" applyFont="1" applyFill="1" applyBorder="1" applyAlignment="1">
      <alignment horizontal="center" vertical="center" wrapText="1"/>
    </xf>
    <xf numFmtId="3" fontId="24" fillId="4" borderId="19" xfId="2" applyNumberFormat="1" applyFont="1" applyFill="1" applyBorder="1" applyAlignment="1">
      <alignment horizontal="center" vertical="center" wrapText="1"/>
    </xf>
    <xf numFmtId="0" fontId="2" fillId="0" borderId="4" xfId="2" applyBorder="1" applyAlignment="1">
      <alignment wrapText="1"/>
    </xf>
    <xf numFmtId="0" fontId="2" fillId="0" borderId="4" xfId="2" applyBorder="1" applyAlignment="1">
      <alignment horizontal="left" wrapText="1"/>
    </xf>
    <xf numFmtId="0" fontId="2" fillId="0" borderId="4" xfId="2" applyBorder="1" applyAlignment="1">
      <alignment horizontal="left" vertical="center"/>
    </xf>
    <xf numFmtId="164" fontId="2" fillId="0" borderId="4" xfId="2" applyNumberFormat="1" applyBorder="1" applyAlignment="1">
      <alignment horizontal="left" vertical="center"/>
    </xf>
    <xf numFmtId="0" fontId="25" fillId="0" borderId="0" xfId="2" applyFont="1" applyAlignment="1">
      <alignment horizontal="right"/>
    </xf>
    <xf numFmtId="0" fontId="2" fillId="13" borderId="4" xfId="2" applyFill="1" applyBorder="1"/>
    <xf numFmtId="164" fontId="2" fillId="13" borderId="4" xfId="2" applyNumberFormat="1" applyFill="1" applyBorder="1"/>
    <xf numFmtId="0" fontId="2" fillId="11" borderId="4" xfId="2" applyFill="1" applyBorder="1"/>
    <xf numFmtId="164" fontId="2" fillId="11" borderId="4" xfId="2" applyNumberFormat="1" applyFill="1" applyBorder="1"/>
    <xf numFmtId="0" fontId="2" fillId="0" borderId="4" xfId="2" quotePrefix="1" applyBorder="1"/>
    <xf numFmtId="0" fontId="0" fillId="0" borderId="0" xfId="0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7" fillId="3" borderId="11" xfId="0" applyFont="1" applyFill="1" applyBorder="1" applyAlignment="1">
      <alignment vertical="center"/>
    </xf>
    <xf numFmtId="0" fontId="27" fillId="3" borderId="12" xfId="0" applyFont="1" applyFill="1" applyBorder="1" applyAlignment="1">
      <alignment vertical="center"/>
    </xf>
    <xf numFmtId="0" fontId="28" fillId="3" borderId="0" xfId="0" applyFont="1" applyFill="1" applyAlignment="1">
      <alignment vertical="center"/>
    </xf>
    <xf numFmtId="0" fontId="27" fillId="3" borderId="0" xfId="0" applyFont="1" applyFill="1" applyAlignment="1">
      <alignment vertical="center"/>
    </xf>
    <xf numFmtId="171" fontId="28" fillId="3" borderId="0" xfId="9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vertical="center"/>
    </xf>
    <xf numFmtId="0" fontId="28" fillId="3" borderId="0" xfId="0" applyFont="1" applyFill="1" applyAlignment="1">
      <alignment horizontal="center" vertical="center" wrapText="1"/>
    </xf>
    <xf numFmtId="0" fontId="28" fillId="3" borderId="0" xfId="0" applyFont="1" applyFill="1" applyAlignment="1">
      <alignment vertical="center" wrapText="1"/>
    </xf>
    <xf numFmtId="0" fontId="27" fillId="3" borderId="0" xfId="0" applyFont="1" applyFill="1" applyAlignment="1">
      <alignment vertical="center" wrapText="1"/>
    </xf>
    <xf numFmtId="171" fontId="28" fillId="3" borderId="0" xfId="9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27" fillId="3" borderId="14" xfId="0" applyFont="1" applyFill="1" applyBorder="1" applyAlignment="1">
      <alignment vertical="center" wrapText="1"/>
    </xf>
    <xf numFmtId="173" fontId="28" fillId="2" borderId="0" xfId="9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7" fillId="4" borderId="32" xfId="0" applyFont="1" applyFill="1" applyBorder="1" applyAlignment="1">
      <alignment horizontal="center" vertical="center"/>
    </xf>
    <xf numFmtId="0" fontId="27" fillId="4" borderId="33" xfId="0" applyFont="1" applyFill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172" fontId="28" fillId="0" borderId="24" xfId="0" applyNumberFormat="1" applyFont="1" applyBorder="1" applyAlignment="1">
      <alignment horizontal="center" vertical="center" wrapText="1"/>
    </xf>
    <xf numFmtId="166" fontId="28" fillId="0" borderId="24" xfId="0" applyNumberFormat="1" applyFont="1" applyBorder="1" applyAlignment="1">
      <alignment vertical="center"/>
    </xf>
    <xf numFmtId="174" fontId="28" fillId="0" borderId="35" xfId="0" applyNumberFormat="1" applyFont="1" applyBorder="1" applyAlignment="1">
      <alignment vertical="center"/>
    </xf>
    <xf numFmtId="0" fontId="28" fillId="0" borderId="4" xfId="0" applyFont="1" applyBorder="1" applyAlignment="1">
      <alignment horizontal="center" vertical="center"/>
    </xf>
    <xf numFmtId="172" fontId="28" fillId="0" borderId="4" xfId="0" applyNumberFormat="1" applyFont="1" applyBorder="1" applyAlignment="1">
      <alignment horizontal="center" vertical="center" wrapText="1"/>
    </xf>
    <xf numFmtId="175" fontId="27" fillId="0" borderId="5" xfId="0" applyNumberFormat="1" applyFont="1" applyBorder="1" applyAlignment="1">
      <alignment vertical="center"/>
    </xf>
    <xf numFmtId="0" fontId="27" fillId="4" borderId="4" xfId="0" applyFont="1" applyFill="1" applyBorder="1" applyAlignment="1">
      <alignment horizontal="center" vertical="center"/>
    </xf>
    <xf numFmtId="0" fontId="27" fillId="4" borderId="5" xfId="0" applyFont="1" applyFill="1" applyBorder="1" applyAlignment="1">
      <alignment horizontal="center" vertical="center"/>
    </xf>
    <xf numFmtId="166" fontId="28" fillId="0" borderId="4" xfId="0" applyNumberFormat="1" applyFont="1" applyBorder="1" applyAlignment="1">
      <alignment vertical="center"/>
    </xf>
    <xf numFmtId="166" fontId="27" fillId="0" borderId="4" xfId="0" applyNumberFormat="1" applyFont="1" applyBorder="1" applyAlignment="1">
      <alignment vertical="center"/>
    </xf>
    <xf numFmtId="176" fontId="28" fillId="0" borderId="4" xfId="0" applyNumberFormat="1" applyFont="1" applyBorder="1" applyAlignment="1">
      <alignment vertical="center"/>
    </xf>
    <xf numFmtId="10" fontId="28" fillId="0" borderId="5" xfId="0" applyNumberFormat="1" applyFont="1" applyBorder="1" applyAlignment="1">
      <alignment vertical="center"/>
    </xf>
    <xf numFmtId="177" fontId="28" fillId="0" borderId="4" xfId="0" applyNumberFormat="1" applyFont="1" applyBorder="1" applyAlignment="1">
      <alignment vertical="center"/>
    </xf>
    <xf numFmtId="0" fontId="28" fillId="3" borderId="4" xfId="0" applyFont="1" applyFill="1" applyBorder="1" applyAlignment="1">
      <alignment horizontal="center" vertical="center"/>
    </xf>
    <xf numFmtId="176" fontId="27" fillId="0" borderId="4" xfId="0" applyNumberFormat="1" applyFont="1" applyBorder="1" applyAlignment="1">
      <alignment vertical="center"/>
    </xf>
    <xf numFmtId="10" fontId="27" fillId="0" borderId="5" xfId="0" applyNumberFormat="1" applyFont="1" applyBorder="1" applyAlignment="1">
      <alignment vertical="center"/>
    </xf>
    <xf numFmtId="0" fontId="27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172" fontId="28" fillId="0" borderId="4" xfId="0" applyNumberFormat="1" applyFont="1" applyBorder="1" applyAlignment="1">
      <alignment vertical="center"/>
    </xf>
    <xf numFmtId="0" fontId="28" fillId="3" borderId="14" xfId="0" applyFont="1" applyFill="1" applyBorder="1" applyAlignment="1">
      <alignment vertical="center"/>
    </xf>
    <xf numFmtId="0" fontId="28" fillId="3" borderId="15" xfId="0" applyFont="1" applyFill="1" applyBorder="1" applyAlignment="1">
      <alignment vertical="center"/>
    </xf>
    <xf numFmtId="43" fontId="1" fillId="0" borderId="0" xfId="10" applyFont="1" applyAlignment="1">
      <alignment vertical="center"/>
    </xf>
    <xf numFmtId="10" fontId="28" fillId="0" borderId="5" xfId="6" applyNumberFormat="1" applyFont="1" applyBorder="1" applyAlignment="1">
      <alignment vertical="center"/>
    </xf>
    <xf numFmtId="172" fontId="7" fillId="0" borderId="18" xfId="0" applyNumberFormat="1" applyFont="1" applyBorder="1" applyAlignment="1">
      <alignment vertical="center"/>
    </xf>
    <xf numFmtId="9" fontId="28" fillId="0" borderId="24" xfId="0" applyNumberFormat="1" applyFont="1" applyBorder="1" applyAlignment="1">
      <alignment horizontal="center" vertical="center"/>
    </xf>
    <xf numFmtId="9" fontId="28" fillId="0" borderId="4" xfId="0" applyNumberFormat="1" applyFont="1" applyBorder="1" applyAlignment="1">
      <alignment horizontal="center" vertical="center"/>
    </xf>
    <xf numFmtId="0" fontId="20" fillId="0" borderId="22" xfId="2" applyFont="1" applyBorder="1" applyAlignment="1">
      <alignment horizontal="left" vertical="top" wrapText="1"/>
    </xf>
    <xf numFmtId="0" fontId="20" fillId="0" borderId="30" xfId="2" applyFont="1" applyBorder="1" applyAlignment="1">
      <alignment horizontal="left" vertical="top" wrapText="1"/>
    </xf>
    <xf numFmtId="0" fontId="20" fillId="0" borderId="22" xfId="2" applyFont="1" applyBorder="1" applyAlignment="1">
      <alignment horizontal="left" vertical="center" wrapText="1"/>
    </xf>
    <xf numFmtId="0" fontId="20" fillId="0" borderId="30" xfId="2" applyFont="1" applyBorder="1" applyAlignment="1">
      <alignment horizontal="left" vertical="center" wrapText="1"/>
    </xf>
    <xf numFmtId="164" fontId="2" fillId="0" borderId="0" xfId="2" applyNumberFormat="1"/>
    <xf numFmtId="0" fontId="29" fillId="0" borderId="4" xfId="3" applyFont="1" applyBorder="1" applyAlignment="1">
      <alignment horizontal="center" vertical="center"/>
    </xf>
    <xf numFmtId="0" fontId="30" fillId="0" borderId="0" xfId="0" applyFont="1"/>
    <xf numFmtId="0" fontId="29" fillId="0" borderId="4" xfId="3" applyFont="1" applyBorder="1" applyAlignment="1">
      <alignment vertical="center" wrapText="1"/>
    </xf>
    <xf numFmtId="0" fontId="29" fillId="0" borderId="4" xfId="3" applyFont="1" applyBorder="1" applyAlignment="1">
      <alignment vertical="center"/>
    </xf>
    <xf numFmtId="0" fontId="29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165" fontId="29" fillId="0" borderId="0" xfId="4" applyFont="1" applyBorder="1" applyAlignment="1">
      <alignment vertical="center"/>
    </xf>
    <xf numFmtId="2" fontId="2" fillId="0" borderId="0" xfId="3" applyNumberFormat="1" applyFont="1" applyAlignment="1">
      <alignment horizontal="center" vertical="center"/>
    </xf>
    <xf numFmtId="0" fontId="2" fillId="0" borderId="4" xfId="3" applyFont="1" applyBorder="1" applyAlignment="1">
      <alignment vertical="center"/>
    </xf>
    <xf numFmtId="165" fontId="2" fillId="0" borderId="4" xfId="4" applyFont="1" applyBorder="1" applyAlignment="1">
      <alignment vertical="center"/>
    </xf>
    <xf numFmtId="2" fontId="2" fillId="0" borderId="4" xfId="3" applyNumberFormat="1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165" fontId="2" fillId="0" borderId="4" xfId="4" applyFont="1" applyBorder="1" applyAlignment="1">
      <alignment horizontal="center" vertical="center"/>
    </xf>
    <xf numFmtId="2" fontId="2" fillId="0" borderId="4" xfId="5" applyNumberFormat="1" applyFont="1" applyBorder="1" applyAlignment="1">
      <alignment horizontal="center" vertical="center"/>
    </xf>
    <xf numFmtId="165" fontId="2" fillId="0" borderId="0" xfId="4" applyFont="1" applyBorder="1" applyAlignment="1">
      <alignment vertical="center"/>
    </xf>
    <xf numFmtId="165" fontId="2" fillId="0" borderId="23" xfId="3" applyNumberFormat="1" applyFont="1" applyBorder="1" applyAlignment="1">
      <alignment vertical="center"/>
    </xf>
    <xf numFmtId="165" fontId="2" fillId="0" borderId="4" xfId="3" applyNumberFormat="1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165" fontId="2" fillId="0" borderId="4" xfId="4" quotePrefix="1" applyFont="1" applyBorder="1" applyAlignment="1">
      <alignment horizontal="center" vertical="center"/>
    </xf>
    <xf numFmtId="0" fontId="2" fillId="0" borderId="4" xfId="3" applyFont="1" applyBorder="1" applyAlignment="1">
      <alignment vertical="justify"/>
    </xf>
    <xf numFmtId="164" fontId="2" fillId="0" borderId="4" xfId="9" applyFont="1" applyFill="1" applyBorder="1" applyAlignment="1">
      <alignment vertical="center"/>
    </xf>
    <xf numFmtId="0" fontId="29" fillId="0" borderId="0" xfId="3" applyFont="1" applyAlignment="1">
      <alignment horizontal="centerContinuous" vertical="center"/>
    </xf>
    <xf numFmtId="165" fontId="2" fillId="0" borderId="0" xfId="4" applyFont="1" applyBorder="1" applyAlignment="1">
      <alignment horizontal="centerContinuous" vertical="center"/>
    </xf>
    <xf numFmtId="165" fontId="2" fillId="7" borderId="4" xfId="3" applyNumberFormat="1" applyFont="1" applyFill="1" applyBorder="1" applyAlignment="1">
      <alignment vertical="center"/>
    </xf>
    <xf numFmtId="0" fontId="29" fillId="4" borderId="0" xfId="3" applyFont="1" applyFill="1" applyAlignment="1">
      <alignment vertical="center"/>
    </xf>
    <xf numFmtId="0" fontId="2" fillId="4" borderId="0" xfId="3" applyFont="1" applyFill="1" applyAlignment="1">
      <alignment vertical="center"/>
    </xf>
    <xf numFmtId="0" fontId="29" fillId="4" borderId="0" xfId="3" applyFont="1" applyFill="1" applyAlignment="1">
      <alignment horizontal="centerContinuous" vertical="center"/>
    </xf>
    <xf numFmtId="165" fontId="2" fillId="4" borderId="0" xfId="4" applyFont="1" applyFill="1" applyBorder="1" applyAlignment="1">
      <alignment horizontal="centerContinuous" vertical="center"/>
    </xf>
    <xf numFmtId="2" fontId="2" fillId="4" borderId="0" xfId="3" applyNumberFormat="1" applyFont="1" applyFill="1" applyAlignment="1">
      <alignment horizontal="center" vertical="center"/>
    </xf>
    <xf numFmtId="164" fontId="2" fillId="0" borderId="4" xfId="9" applyFont="1" applyBorder="1" applyAlignment="1">
      <alignment horizontal="center" vertical="center"/>
    </xf>
    <xf numFmtId="0" fontId="13" fillId="14" borderId="0" xfId="7" applyFont="1" applyFill="1" applyAlignment="1">
      <alignment horizontal="center"/>
    </xf>
    <xf numFmtId="0" fontId="12" fillId="14" borderId="0" xfId="7" applyFont="1" applyFill="1"/>
    <xf numFmtId="0" fontId="14" fillId="14" borderId="21" xfId="2" applyFont="1" applyFill="1" applyBorder="1" applyAlignment="1">
      <alignment horizontal="center" vertical="center"/>
    </xf>
    <xf numFmtId="0" fontId="20" fillId="14" borderId="21" xfId="2" applyFont="1" applyFill="1" applyBorder="1" applyAlignment="1">
      <alignment horizontal="center" vertical="distributed"/>
    </xf>
    <xf numFmtId="2" fontId="20" fillId="14" borderId="21" xfId="2" applyNumberFormat="1" applyFont="1" applyFill="1" applyBorder="1" applyAlignment="1">
      <alignment horizontal="center" vertical="distributed"/>
    </xf>
    <xf numFmtId="166" fontId="20" fillId="14" borderId="22" xfId="2" applyNumberFormat="1" applyFont="1" applyFill="1" applyBorder="1" applyAlignment="1">
      <alignment horizontal="center" vertical="center"/>
    </xf>
    <xf numFmtId="166" fontId="13" fillId="14" borderId="0" xfId="7" applyNumberFormat="1" applyFont="1" applyFill="1" applyAlignment="1">
      <alignment horizontal="center"/>
    </xf>
    <xf numFmtId="10" fontId="28" fillId="2" borderId="4" xfId="0" applyNumberFormat="1" applyFont="1" applyFill="1" applyBorder="1" applyAlignment="1">
      <alignment horizontal="center" vertical="center" wrapText="1"/>
    </xf>
    <xf numFmtId="174" fontId="7" fillId="0" borderId="19" xfId="0" applyNumberFormat="1" applyFont="1" applyBorder="1" applyAlignment="1">
      <alignment vertical="center"/>
    </xf>
    <xf numFmtId="2" fontId="20" fillId="9" borderId="21" xfId="2" applyNumberFormat="1" applyFont="1" applyFill="1" applyBorder="1" applyAlignment="1">
      <alignment horizontal="center" vertical="distributed"/>
    </xf>
    <xf numFmtId="2" fontId="20" fillId="7" borderId="21" xfId="2" applyNumberFormat="1" applyFont="1" applyFill="1" applyBorder="1" applyAlignment="1">
      <alignment horizontal="center" vertical="distributed"/>
    </xf>
    <xf numFmtId="172" fontId="28" fillId="15" borderId="4" xfId="0" applyNumberFormat="1" applyFont="1" applyFill="1" applyBorder="1" applyAlignment="1">
      <alignment horizontal="center" vertical="center" wrapText="1"/>
    </xf>
    <xf numFmtId="0" fontId="28" fillId="15" borderId="4" xfId="0" applyFont="1" applyFill="1" applyBorder="1" applyAlignment="1">
      <alignment horizontal="center" vertical="center"/>
    </xf>
    <xf numFmtId="0" fontId="28" fillId="15" borderId="24" xfId="0" applyFont="1" applyFill="1" applyBorder="1" applyAlignment="1">
      <alignment horizontal="center" vertical="center"/>
    </xf>
    <xf numFmtId="9" fontId="28" fillId="15" borderId="4" xfId="0" applyNumberFormat="1" applyFont="1" applyFill="1" applyBorder="1" applyAlignment="1">
      <alignment horizontal="center" vertical="center"/>
    </xf>
    <xf numFmtId="166" fontId="28" fillId="15" borderId="24" xfId="0" applyNumberFormat="1" applyFont="1" applyFill="1" applyBorder="1" applyAlignment="1">
      <alignment vertical="center"/>
    </xf>
    <xf numFmtId="174" fontId="28" fillId="15" borderId="35" xfId="0" applyNumberFormat="1" applyFont="1" applyFill="1" applyBorder="1" applyAlignment="1">
      <alignment vertical="center"/>
    </xf>
    <xf numFmtId="0" fontId="2" fillId="9" borderId="4" xfId="3" applyFont="1" applyFill="1" applyBorder="1" applyAlignment="1">
      <alignment horizontal="center" vertical="center"/>
    </xf>
    <xf numFmtId="0" fontId="2" fillId="9" borderId="4" xfId="4" applyNumberFormat="1" applyFont="1" applyFill="1" applyBorder="1" applyAlignment="1">
      <alignment horizontal="center" vertical="center"/>
    </xf>
    <xf numFmtId="164" fontId="2" fillId="9" borderId="4" xfId="9" applyFont="1" applyFill="1" applyBorder="1" applyAlignment="1">
      <alignment horizontal="center" vertical="center"/>
    </xf>
    <xf numFmtId="0" fontId="29" fillId="9" borderId="4" xfId="3" applyFont="1" applyFill="1" applyBorder="1" applyAlignment="1">
      <alignment horizontal="center" vertical="center"/>
    </xf>
    <xf numFmtId="10" fontId="15" fillId="0" borderId="0" xfId="6" applyNumberFormat="1" applyFont="1" applyAlignment="1">
      <alignment horizontal="right"/>
    </xf>
    <xf numFmtId="172" fontId="14" fillId="4" borderId="0" xfId="2" applyNumberFormat="1" applyFont="1" applyFill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3" fillId="0" borderId="8" xfId="3" applyFont="1" applyBorder="1" applyAlignment="1">
      <alignment horizontal="center" vertical="center"/>
    </xf>
    <xf numFmtId="0" fontId="13" fillId="14" borderId="41" xfId="7" applyFont="1" applyFill="1" applyBorder="1" applyAlignment="1">
      <alignment horizontal="left"/>
    </xf>
    <xf numFmtId="0" fontId="20" fillId="0" borderId="22" xfId="2" applyFont="1" applyBorder="1" applyAlignment="1">
      <alignment horizontal="left" vertical="center" wrapText="1"/>
    </xf>
    <xf numFmtId="0" fontId="20" fillId="0" borderId="30" xfId="2" applyFont="1" applyBorder="1" applyAlignment="1">
      <alignment horizontal="left" vertical="center" wrapText="1"/>
    </xf>
    <xf numFmtId="0" fontId="14" fillId="14" borderId="22" xfId="2" applyFont="1" applyFill="1" applyBorder="1" applyAlignment="1">
      <alignment horizontal="left" vertical="center" wrapText="1"/>
    </xf>
    <xf numFmtId="0" fontId="14" fillId="14" borderId="30" xfId="2" applyFont="1" applyFill="1" applyBorder="1" applyAlignment="1">
      <alignment horizontal="left" vertical="center" wrapText="1"/>
    </xf>
    <xf numFmtId="0" fontId="20" fillId="0" borderId="22" xfId="2" applyFont="1" applyBorder="1" applyAlignment="1">
      <alignment horizontal="left" vertical="top" wrapText="1"/>
    </xf>
    <xf numFmtId="0" fontId="20" fillId="0" borderId="30" xfId="2" applyFont="1" applyBorder="1" applyAlignment="1">
      <alignment horizontal="left" vertical="top" wrapText="1"/>
    </xf>
    <xf numFmtId="0" fontId="20" fillId="0" borderId="28" xfId="2" applyFont="1" applyBorder="1" applyAlignment="1">
      <alignment horizontal="left" vertical="center" wrapText="1"/>
    </xf>
    <xf numFmtId="0" fontId="20" fillId="0" borderId="29" xfId="2" applyFont="1" applyBorder="1" applyAlignment="1">
      <alignment horizontal="left" vertical="center" wrapText="1"/>
    </xf>
    <xf numFmtId="0" fontId="14" fillId="0" borderId="22" xfId="2" applyFont="1" applyBorder="1" applyAlignment="1">
      <alignment horizontal="left" vertical="center" wrapText="1"/>
    </xf>
    <xf numFmtId="0" fontId="14" fillId="0" borderId="30" xfId="2" applyFont="1" applyBorder="1" applyAlignment="1">
      <alignment horizontal="left" vertical="center" wrapText="1"/>
    </xf>
    <xf numFmtId="0" fontId="9" fillId="0" borderId="0" xfId="7" applyAlignment="1">
      <alignment horizontal="center"/>
    </xf>
    <xf numFmtId="0" fontId="16" fillId="0" borderId="0" xfId="7" applyFont="1" applyAlignment="1">
      <alignment horizontal="left"/>
    </xf>
    <xf numFmtId="0" fontId="11" fillId="0" borderId="9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6" xfId="3" applyFont="1" applyBorder="1" applyAlignment="1">
      <alignment horizontal="center" vertical="center"/>
    </xf>
    <xf numFmtId="0" fontId="29" fillId="0" borderId="4" xfId="3" applyFont="1" applyBorder="1" applyAlignment="1">
      <alignment horizontal="center" vertical="center"/>
    </xf>
    <xf numFmtId="0" fontId="29" fillId="0" borderId="4" xfId="3" applyFont="1" applyBorder="1" applyAlignment="1">
      <alignment horizontal="left" vertical="center" wrapText="1"/>
    </xf>
    <xf numFmtId="0" fontId="2" fillId="0" borderId="4" xfId="3" applyFont="1" applyBorder="1" applyAlignment="1">
      <alignment horizontal="center" vertical="center"/>
    </xf>
    <xf numFmtId="0" fontId="2" fillId="0" borderId="4" xfId="3" applyFont="1" applyBorder="1" applyAlignment="1">
      <alignment horizontal="left" vertical="center"/>
    </xf>
    <xf numFmtId="165" fontId="29" fillId="0" borderId="4" xfId="4" applyFont="1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29" fillId="0" borderId="0" xfId="3" applyFont="1" applyAlignment="1">
      <alignment horizontal="center" vertical="center"/>
    </xf>
    <xf numFmtId="0" fontId="2" fillId="9" borderId="40" xfId="3" applyFont="1" applyFill="1" applyBorder="1" applyAlignment="1">
      <alignment horizontal="left" vertical="center" wrapText="1"/>
    </xf>
    <xf numFmtId="0" fontId="2" fillId="9" borderId="39" xfId="3" applyFont="1" applyFill="1" applyBorder="1" applyAlignment="1">
      <alignment horizontal="left" vertical="center" wrapText="1"/>
    </xf>
    <xf numFmtId="0" fontId="29" fillId="0" borderId="40" xfId="3" applyFont="1" applyBorder="1" applyAlignment="1">
      <alignment horizontal="center" vertical="center" wrapText="1"/>
    </xf>
    <xf numFmtId="0" fontId="29" fillId="0" borderId="39" xfId="3" applyFont="1" applyBorder="1" applyAlignment="1">
      <alignment horizontal="center" vertical="center" wrapText="1"/>
    </xf>
    <xf numFmtId="0" fontId="2" fillId="9" borderId="40" xfId="3" applyFont="1" applyFill="1" applyBorder="1" applyAlignment="1">
      <alignment horizontal="left" vertical="top" wrapText="1"/>
    </xf>
    <xf numFmtId="0" fontId="2" fillId="9" borderId="39" xfId="3" applyFont="1" applyFill="1" applyBorder="1" applyAlignment="1">
      <alignment horizontal="left" vertical="top" wrapText="1"/>
    </xf>
    <xf numFmtId="0" fontId="5" fillId="0" borderId="0" xfId="3" applyFont="1" applyAlignment="1">
      <alignment horizontal="center" vertical="center"/>
    </xf>
    <xf numFmtId="0" fontId="26" fillId="10" borderId="9" xfId="0" applyFont="1" applyFill="1" applyBorder="1" applyAlignment="1">
      <alignment horizontal="center" vertical="center" wrapText="1"/>
    </xf>
    <xf numFmtId="0" fontId="26" fillId="10" borderId="10" xfId="0" applyFont="1" applyFill="1" applyBorder="1" applyAlignment="1">
      <alignment horizontal="center" vertical="center" wrapText="1"/>
    </xf>
    <xf numFmtId="0" fontId="26" fillId="10" borderId="16" xfId="0" applyFont="1" applyFill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64" fontId="28" fillId="3" borderId="12" xfId="9" applyFont="1" applyFill="1" applyBorder="1" applyAlignment="1">
      <alignment horizontal="center" vertical="center"/>
    </xf>
    <xf numFmtId="172" fontId="28" fillId="3" borderId="15" xfId="0" applyNumberFormat="1" applyFont="1" applyFill="1" applyBorder="1" applyAlignment="1">
      <alignment horizontal="center" vertical="center" wrapText="1"/>
    </xf>
    <xf numFmtId="0" fontId="27" fillId="3" borderId="14" xfId="0" applyFont="1" applyFill="1" applyBorder="1" applyAlignment="1">
      <alignment horizontal="left" vertical="center" wrapText="1"/>
    </xf>
    <xf numFmtId="0" fontId="27" fillId="3" borderId="0" xfId="0" applyFont="1" applyFill="1" applyAlignment="1">
      <alignment horizontal="left" vertical="center" wrapText="1"/>
    </xf>
    <xf numFmtId="164" fontId="28" fillId="3" borderId="0" xfId="9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32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27" fillId="0" borderId="14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4" borderId="31" xfId="0" applyFont="1" applyFill="1" applyBorder="1" applyAlignment="1">
      <alignment horizontal="center" vertical="center"/>
    </xf>
    <xf numFmtId="0" fontId="27" fillId="4" borderId="32" xfId="0" applyFont="1" applyFill="1" applyBorder="1" applyAlignment="1">
      <alignment horizontal="center" vertical="center"/>
    </xf>
    <xf numFmtId="0" fontId="28" fillId="0" borderId="34" xfId="0" applyFont="1" applyBorder="1" applyAlignment="1">
      <alignment horizontal="left" vertical="center"/>
    </xf>
    <xf numFmtId="0" fontId="28" fillId="0" borderId="24" xfId="0" applyFont="1" applyBorder="1" applyAlignment="1">
      <alignment horizontal="left" vertical="center"/>
    </xf>
    <xf numFmtId="0" fontId="28" fillId="15" borderId="3" xfId="0" applyFont="1" applyFill="1" applyBorder="1" applyAlignment="1">
      <alignment horizontal="left" vertical="center"/>
    </xf>
    <xf numFmtId="0" fontId="28" fillId="15" borderId="4" xfId="0" applyFont="1" applyFill="1" applyBorder="1" applyAlignment="1">
      <alignment horizontal="left" vertical="center"/>
    </xf>
    <xf numFmtId="0" fontId="28" fillId="0" borderId="3" xfId="0" applyFont="1" applyBorder="1" applyAlignment="1">
      <alignment horizontal="left" vertical="center"/>
    </xf>
    <xf numFmtId="0" fontId="28" fillId="0" borderId="4" xfId="0" applyFont="1" applyBorder="1" applyAlignment="1">
      <alignment horizontal="left" vertical="center"/>
    </xf>
    <xf numFmtId="0" fontId="28" fillId="0" borderId="3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26" xfId="0" applyFont="1" applyBorder="1" applyAlignment="1">
      <alignment horizontal="left" vertical="center"/>
    </xf>
    <xf numFmtId="0" fontId="28" fillId="0" borderId="25" xfId="0" applyFont="1" applyBorder="1" applyAlignment="1">
      <alignment horizontal="left" vertical="center"/>
    </xf>
    <xf numFmtId="0" fontId="27" fillId="4" borderId="3" xfId="0" applyFont="1" applyFill="1" applyBorder="1" applyAlignment="1">
      <alignment horizontal="center" vertical="center"/>
    </xf>
    <xf numFmtId="0" fontId="27" fillId="4" borderId="4" xfId="0" applyFont="1" applyFill="1" applyBorder="1" applyAlignment="1">
      <alignment horizontal="center" vertical="center"/>
    </xf>
    <xf numFmtId="0" fontId="28" fillId="0" borderId="26" xfId="0" applyFont="1" applyBorder="1" applyAlignment="1">
      <alignment horizontal="left" vertical="center" wrapText="1"/>
    </xf>
    <xf numFmtId="0" fontId="28" fillId="0" borderId="25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7" fillId="4" borderId="36" xfId="0" applyFont="1" applyFill="1" applyBorder="1" applyAlignment="1">
      <alignment horizontal="center" vertical="center"/>
    </xf>
    <xf numFmtId="0" fontId="27" fillId="4" borderId="37" xfId="0" applyFont="1" applyFill="1" applyBorder="1" applyAlignment="1">
      <alignment horizontal="center" vertical="center"/>
    </xf>
    <xf numFmtId="0" fontId="27" fillId="4" borderId="38" xfId="0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4" borderId="5" xfId="0" applyFont="1" applyFill="1" applyBorder="1" applyAlignment="1">
      <alignment horizontal="center" vertical="center"/>
    </xf>
  </cellXfs>
  <cellStyles count="12">
    <cellStyle name="Excel Built-in Normal" xfId="7" xr:uid="{B5B4B947-1704-4387-9625-DBEA53D43961}"/>
    <cellStyle name="Millares" xfId="10" builtinId="3"/>
    <cellStyle name="Millares [0] 2" xfId="5" xr:uid="{D06273A3-E31A-48C0-BD9F-C13784EA33C3}"/>
    <cellStyle name="Moneda" xfId="9" builtinId="4"/>
    <cellStyle name="Moneda [0] 2" xfId="4" xr:uid="{2A110642-2E5C-4608-A17B-C20DD560AAE9}"/>
    <cellStyle name="Moneda 2" xfId="8" xr:uid="{B851EA35-7E52-47F4-9419-05DC7DA64DD7}"/>
    <cellStyle name="Normal" xfId="0" builtinId="0"/>
    <cellStyle name="Normal 11 45 9" xfId="3" xr:uid="{9B09233E-5514-4D10-95C7-AB0B1E202888}"/>
    <cellStyle name="Normal 2 2 2 2 2" xfId="2" xr:uid="{ADAC1369-639D-45BA-B61E-9C1E3C79DB0E}"/>
    <cellStyle name="Normal 2 2 5" xfId="11" xr:uid="{2FD3B4B8-D8AF-46DC-BE74-FCF86517E06C}"/>
    <cellStyle name="Normal 3 2 2" xfId="1" xr:uid="{718B4BBC-0D8D-40B2-ACF0-62987B4A6321}"/>
    <cellStyle name="Porcentaje" xfId="6" builtinId="5"/>
  </cellStyles>
  <dxfs count="0"/>
  <tableStyles count="0" defaultTableStyle="TableStyleMedium2" defaultPivotStyle="PivotStyleLight16"/>
  <colors>
    <mruColors>
      <color rgb="FFBBE2EC"/>
      <color rgb="FFCCFF66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772954</xdr:colOff>
      <xdr:row>0</xdr:row>
      <xdr:rowOff>57150</xdr:rowOff>
    </xdr:from>
    <xdr:to>
      <xdr:col>6</xdr:col>
      <xdr:colOff>762000</xdr:colOff>
      <xdr:row>1</xdr:row>
      <xdr:rowOff>644877</xdr:rowOff>
    </xdr:to>
    <xdr:pic>
      <xdr:nvPicPr>
        <xdr:cNvPr id="4" name="Gráfico 3">
          <a:extLst>
            <a:ext uri="{FF2B5EF4-FFF2-40B4-BE49-F238E27FC236}">
              <a16:creationId xmlns:a16="http://schemas.microsoft.com/office/drawing/2014/main" id="{6786227B-2D86-4304-BFDA-6B39ACE2B0C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069229" y="57150"/>
          <a:ext cx="1732121" cy="12830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190501</xdr:colOff>
      <xdr:row>0</xdr:row>
      <xdr:rowOff>47625</xdr:rowOff>
    </xdr:from>
    <xdr:to>
      <xdr:col>6</xdr:col>
      <xdr:colOff>1295401</xdr:colOff>
      <xdr:row>1</xdr:row>
      <xdr:rowOff>427919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BE66B16B-0C67-42F6-9CF3-99B07FA4146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34151" y="47625"/>
          <a:ext cx="1104900" cy="818444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34</xdr:row>
      <xdr:rowOff>0</xdr:rowOff>
    </xdr:from>
    <xdr:to>
      <xdr:col>16</xdr:col>
      <xdr:colOff>268605</xdr:colOff>
      <xdr:row>43</xdr:row>
      <xdr:rowOff>554137</xdr:rowOff>
    </xdr:to>
    <xdr:pic>
      <xdr:nvPicPr>
        <xdr:cNvPr id="10" name="Imagen 9" descr="CONCRETO - Dosificación concreto para diferentes resistencias">
          <a:extLst>
            <a:ext uri="{FF2B5EF4-FFF2-40B4-BE49-F238E27FC236}">
              <a16:creationId xmlns:a16="http://schemas.microsoft.com/office/drawing/2014/main" id="{60AAF77A-A3DB-4ED6-AE6E-B159A44C3B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47011807"/>
          <a:ext cx="4983480" cy="28020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200025</xdr:colOff>
      <xdr:row>36</xdr:row>
      <xdr:rowOff>38100</xdr:rowOff>
    </xdr:from>
    <xdr:ext cx="1104900" cy="818444"/>
    <xdr:pic>
      <xdr:nvPicPr>
        <xdr:cNvPr id="20" name="Gráfico 19">
          <a:extLst>
            <a:ext uri="{FF2B5EF4-FFF2-40B4-BE49-F238E27FC236}">
              <a16:creationId xmlns:a16="http://schemas.microsoft.com/office/drawing/2014/main" id="{315DC06D-D245-43A2-A163-2BC9F2D4A6D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113337975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111</xdr:row>
      <xdr:rowOff>38100</xdr:rowOff>
    </xdr:from>
    <xdr:ext cx="1104900" cy="818444"/>
    <xdr:pic>
      <xdr:nvPicPr>
        <xdr:cNvPr id="34" name="Gráfico 33">
          <a:extLst>
            <a:ext uri="{FF2B5EF4-FFF2-40B4-BE49-F238E27FC236}">
              <a16:creationId xmlns:a16="http://schemas.microsoft.com/office/drawing/2014/main" id="{F20D36A2-C151-4573-A2D6-59086A2FDAE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217655775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149</xdr:row>
      <xdr:rowOff>38100</xdr:rowOff>
    </xdr:from>
    <xdr:ext cx="1104900" cy="818444"/>
    <xdr:pic>
      <xdr:nvPicPr>
        <xdr:cNvPr id="36" name="Gráfico 35">
          <a:extLst>
            <a:ext uri="{FF2B5EF4-FFF2-40B4-BE49-F238E27FC236}">
              <a16:creationId xmlns:a16="http://schemas.microsoft.com/office/drawing/2014/main" id="{07B4002F-3168-4624-BF21-B1EA16DB8C4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232876725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187</xdr:row>
      <xdr:rowOff>38100</xdr:rowOff>
    </xdr:from>
    <xdr:ext cx="1104900" cy="818444"/>
    <xdr:pic>
      <xdr:nvPicPr>
        <xdr:cNvPr id="37" name="Gráfico 36">
          <a:extLst>
            <a:ext uri="{FF2B5EF4-FFF2-40B4-BE49-F238E27FC236}">
              <a16:creationId xmlns:a16="http://schemas.microsoft.com/office/drawing/2014/main" id="{118D495B-56CA-4008-86FD-1D59F703167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24048720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223</xdr:row>
      <xdr:rowOff>38100</xdr:rowOff>
    </xdr:from>
    <xdr:ext cx="1104900" cy="818444"/>
    <xdr:pic>
      <xdr:nvPicPr>
        <xdr:cNvPr id="39" name="Gráfico 38">
          <a:extLst>
            <a:ext uri="{FF2B5EF4-FFF2-40B4-BE49-F238E27FC236}">
              <a16:creationId xmlns:a16="http://schemas.microsoft.com/office/drawing/2014/main" id="{068E3E81-F60E-48D2-B2FF-C4F2E7072FF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25536525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261</xdr:row>
      <xdr:rowOff>38100</xdr:rowOff>
    </xdr:from>
    <xdr:ext cx="1104900" cy="818444"/>
    <xdr:pic>
      <xdr:nvPicPr>
        <xdr:cNvPr id="47" name="Gráfico 46">
          <a:extLst>
            <a:ext uri="{FF2B5EF4-FFF2-40B4-BE49-F238E27FC236}">
              <a16:creationId xmlns:a16="http://schemas.microsoft.com/office/drawing/2014/main" id="{AD818A21-EBF5-4003-8CF2-F75705BEDD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31624905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296</xdr:row>
      <xdr:rowOff>38100</xdr:rowOff>
    </xdr:from>
    <xdr:ext cx="1104900" cy="818444"/>
    <xdr:pic>
      <xdr:nvPicPr>
        <xdr:cNvPr id="54" name="Gráfico 53">
          <a:extLst>
            <a:ext uri="{FF2B5EF4-FFF2-40B4-BE49-F238E27FC236}">
              <a16:creationId xmlns:a16="http://schemas.microsoft.com/office/drawing/2014/main" id="{29A98DCA-2946-47A9-9073-32686AC2DA5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367979325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337</xdr:row>
      <xdr:rowOff>38100</xdr:rowOff>
    </xdr:from>
    <xdr:ext cx="1104900" cy="818444"/>
    <xdr:pic>
      <xdr:nvPicPr>
        <xdr:cNvPr id="55" name="Gráfico 54">
          <a:extLst>
            <a:ext uri="{FF2B5EF4-FFF2-40B4-BE49-F238E27FC236}">
              <a16:creationId xmlns:a16="http://schemas.microsoft.com/office/drawing/2014/main" id="{42E747B9-2725-4114-953B-3DCE71AB197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37469445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378</xdr:row>
      <xdr:rowOff>38100</xdr:rowOff>
    </xdr:from>
    <xdr:ext cx="1104900" cy="818444"/>
    <xdr:pic>
      <xdr:nvPicPr>
        <xdr:cNvPr id="58" name="Gráfico 57">
          <a:extLst>
            <a:ext uri="{FF2B5EF4-FFF2-40B4-BE49-F238E27FC236}">
              <a16:creationId xmlns:a16="http://schemas.microsoft.com/office/drawing/2014/main" id="{79B952CB-1838-42EF-932D-A6FCE1B5174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399068925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420</xdr:row>
      <xdr:rowOff>38100</xdr:rowOff>
    </xdr:from>
    <xdr:ext cx="1104900" cy="818444"/>
    <xdr:pic>
      <xdr:nvPicPr>
        <xdr:cNvPr id="59" name="Gráfico 58">
          <a:extLst>
            <a:ext uri="{FF2B5EF4-FFF2-40B4-BE49-F238E27FC236}">
              <a16:creationId xmlns:a16="http://schemas.microsoft.com/office/drawing/2014/main" id="{A43F0A00-D935-437F-844E-072F2DD5245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40719375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73</xdr:row>
      <xdr:rowOff>38100</xdr:rowOff>
    </xdr:from>
    <xdr:ext cx="1104900" cy="818444"/>
    <xdr:pic>
      <xdr:nvPicPr>
        <xdr:cNvPr id="63" name="Gráfico 62">
          <a:extLst>
            <a:ext uri="{FF2B5EF4-FFF2-40B4-BE49-F238E27FC236}">
              <a16:creationId xmlns:a16="http://schemas.microsoft.com/office/drawing/2014/main" id="{6B9A5884-D5D3-4155-9337-3DF8F06684F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3675" y="166439850"/>
          <a:ext cx="1104900" cy="81844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330200</xdr:colOff>
      <xdr:row>0</xdr:row>
      <xdr:rowOff>33867</xdr:rowOff>
    </xdr:from>
    <xdr:ext cx="1651000" cy="1222962"/>
    <xdr:pic>
      <xdr:nvPicPr>
        <xdr:cNvPr id="4" name="Gráfico 3">
          <a:extLst>
            <a:ext uri="{FF2B5EF4-FFF2-40B4-BE49-F238E27FC236}">
              <a16:creationId xmlns:a16="http://schemas.microsoft.com/office/drawing/2014/main" id="{0A9CED8D-84C4-4F32-ADA3-7ED66E8E0AE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816600" y="33867"/>
          <a:ext cx="1651000" cy="122296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uPaFlo/13.%20AMAGA/PRESUPUESTO%20CENTRO%20DE%20SALUD%20MIN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iago\Downloads\planilla-de-excel-para-el-aplicativo-de-compras-y-vent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uPaFlo/10.%20REFORMAS%20Y%20ACABADOS%20JM/CONTROL%20DE%20OBRA/20220124%20DINISSAN/20220124%20DINISSAN_Nutibar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velez\AppData\Local\Microsoft\Windows\INetCache\Content.Outlook\ENAZG318\APU%20PROYECTOS%20EDU%202016%20%20%20(00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CALCULO AU"/>
      <sheetName val="Detalle de Presupuesto"/>
      <sheetName val="Item 20"/>
      <sheetName val="Item 52"/>
      <sheetName val="Item 115"/>
      <sheetName val="Item 116"/>
      <sheetName val="Item 120"/>
      <sheetName val="Item 140"/>
      <sheetName val="Item 168"/>
      <sheetName val="Item 220"/>
      <sheetName val="Item 310"/>
      <sheetName val="Item 321"/>
      <sheetName val="Item 331"/>
      <sheetName val="Item 350"/>
      <sheetName val="Item 353"/>
      <sheetName val="Item 356"/>
      <sheetName val="Item 574"/>
      <sheetName val="Item 730"/>
      <sheetName val="Item 732"/>
      <sheetName val="Item 733"/>
      <sheetName val="Item 836"/>
      <sheetName val="Item 881"/>
      <sheetName val="Item 905"/>
      <sheetName val="Item 1005"/>
      <sheetName val="Item 1012"/>
      <sheetName val="Item 1018"/>
      <sheetName val="Item 1150"/>
      <sheetName val="Mano de Obra"/>
    </sheetNames>
    <sheetDataSet>
      <sheetData sheetId="0">
        <row r="3">
          <cell r="A3">
            <v>20</v>
          </cell>
          <cell r="B3" t="str">
            <v>Desmonte y/o Demolición de muros, enchape y/o cubierta
Incluye cargue y descargue para botada de escombros</v>
          </cell>
        </row>
        <row r="4">
          <cell r="A4">
            <v>52</v>
          </cell>
          <cell r="B4" t="str">
            <v>Mejoramiento de muros agrietados
Fundición de dovelas para estabilizar muro</v>
          </cell>
        </row>
        <row r="5">
          <cell r="A5">
            <v>115</v>
          </cell>
          <cell r="B5" t="str">
            <v>Resane y Pintura Tipo I
Aplicación de mezcla en revoque o estuco en zona afectada
Incluye una mano de pintura</v>
          </cell>
        </row>
        <row r="6">
          <cell r="A6">
            <v>116</v>
          </cell>
          <cell r="B6" t="str">
            <v>Pintura Alta Asepsia
Aplicación de pintura en área de higiene</v>
          </cell>
        </row>
        <row r="7">
          <cell r="A7">
            <v>120</v>
          </cell>
          <cell r="B7" t="str">
            <v>Pintura de Piso
Aplicación de pintura epóxica alto trafico para piso
Resane y nivelación de piso</v>
          </cell>
        </row>
        <row r="8">
          <cell r="A8">
            <v>140</v>
          </cell>
          <cell r="B8" t="str">
            <v>Enchape
Mejoramiento de enchape. Instalación sugerida a 2,10m de altura
Mejoramiento en boquilla de enchape</v>
          </cell>
        </row>
        <row r="9">
          <cell r="A9">
            <v>168</v>
          </cell>
          <cell r="B9" t="str">
            <v xml:space="preserve">Media caña
Construcción de media caña perimetral </v>
          </cell>
        </row>
        <row r="10">
          <cell r="A10">
            <v>220</v>
          </cell>
          <cell r="B10" t="str">
            <v>Muro en Drywall
Construcción de muro divisorio a dos caras en placa de yeso</v>
          </cell>
        </row>
        <row r="11">
          <cell r="A11">
            <v>310</v>
          </cell>
          <cell r="B11" t="str">
            <v>Instalación de cielo raso
Instalación de cielo raso en placa de yeso</v>
          </cell>
        </row>
        <row r="12">
          <cell r="A12">
            <v>321</v>
          </cell>
          <cell r="B12" t="str">
            <v>Reparación de cubierta
Cambio de tejas de barro en mal estado.</v>
          </cell>
        </row>
        <row r="13">
          <cell r="A13">
            <v>331</v>
          </cell>
          <cell r="B13" t="str">
            <v>Reparación de cubierta
Cambio de tejas de fibrocemento en mal estado.</v>
          </cell>
        </row>
        <row r="14">
          <cell r="A14">
            <v>350</v>
          </cell>
          <cell r="B14" t="str">
            <v>Reparación de cubierta
Cambio de tablilla en cubierta</v>
          </cell>
        </row>
        <row r="15">
          <cell r="A15">
            <v>353</v>
          </cell>
          <cell r="B15" t="str">
            <v>Viga Metálica
Aplicación de pintura anticorrosiva</v>
          </cell>
        </row>
        <row r="16">
          <cell r="A16">
            <v>356</v>
          </cell>
          <cell r="B16" t="str">
            <v>Viga Metálica
Instalación de soportes entre viga metálica y alfardas de madera</v>
          </cell>
        </row>
        <row r="17">
          <cell r="A17">
            <v>574</v>
          </cell>
          <cell r="B17" t="str">
            <v>Construcción de Cuneta
Construcción de cuneta en U, con media caña, direccionamiento de aguas lluvias a drenaje.</v>
          </cell>
        </row>
        <row r="18">
          <cell r="A18">
            <v>730</v>
          </cell>
          <cell r="B18" t="str">
            <v>Red Eléctrica
Mantenimiento y mejoramiento de red eléctrica en zona</v>
          </cell>
        </row>
        <row r="19">
          <cell r="A19">
            <v>732</v>
          </cell>
          <cell r="B19" t="str">
            <v>Red Eléctrica
Cambio de lampara</v>
          </cell>
        </row>
        <row r="20">
          <cell r="A20">
            <v>733</v>
          </cell>
          <cell r="B20" t="str">
            <v>Red Eléctrica
Cambio de tomas e interruptores que estén en mal estado</v>
          </cell>
        </row>
        <row r="21">
          <cell r="A21">
            <v>836</v>
          </cell>
          <cell r="B21" t="str">
            <v>Limpieza de arbusto</v>
          </cell>
        </row>
        <row r="22">
          <cell r="A22">
            <v>881</v>
          </cell>
          <cell r="B22" t="str">
            <v>Impermeabilizacion de muro</v>
          </cell>
        </row>
        <row r="23">
          <cell r="A23">
            <v>905</v>
          </cell>
          <cell r="B23" t="str">
            <v>Mantenimiento Red de Abasto
Cambio de accesorios de PVC, Instalación de Llave de paso</v>
          </cell>
        </row>
        <row r="24">
          <cell r="A24">
            <v>1005</v>
          </cell>
          <cell r="B24" t="str">
            <v>Suministro e Instalación de puerta
Suministro de puerta</v>
          </cell>
        </row>
        <row r="25">
          <cell r="A25">
            <v>1012</v>
          </cell>
          <cell r="B25" t="str">
            <v>Suministro de lavamanos</v>
          </cell>
        </row>
        <row r="26">
          <cell r="A26">
            <v>1018</v>
          </cell>
          <cell r="B26" t="str">
            <v>Suministro en Instalación aparatos sanitario</v>
          </cell>
        </row>
        <row r="27">
          <cell r="A27">
            <v>1150</v>
          </cell>
          <cell r="B27" t="str">
            <v>Suministro de mesón en acero inoxidable 
Incluye instalación de pozuelo, desagüe y grifería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A2" t="str">
            <v>Ayudante</v>
          </cell>
          <cell r="B2">
            <v>75350</v>
          </cell>
        </row>
        <row r="3">
          <cell r="A3" t="str">
            <v>Oficial</v>
          </cell>
          <cell r="B3">
            <v>150700</v>
          </cell>
        </row>
        <row r="4">
          <cell r="A4" t="str">
            <v>Maestro</v>
          </cell>
          <cell r="B4">
            <v>188375</v>
          </cell>
        </row>
        <row r="5">
          <cell r="A5" t="str">
            <v>Coordinador SST</v>
          </cell>
          <cell r="B5">
            <v>158235</v>
          </cell>
        </row>
        <row r="6">
          <cell r="A6" t="str">
            <v>L</v>
          </cell>
          <cell r="B6"/>
        </row>
        <row r="7">
          <cell r="A7" t="str">
            <v>1 Oficial / 1 Ayudantes</v>
          </cell>
          <cell r="B7">
            <v>226050</v>
          </cell>
        </row>
        <row r="8">
          <cell r="A8" t="str">
            <v>1 Oficial / 2 Ayudantes</v>
          </cell>
          <cell r="B8">
            <v>301400</v>
          </cell>
        </row>
        <row r="9">
          <cell r="A9" t="str">
            <v>1 Oficial / 3 Ayudantes</v>
          </cell>
          <cell r="B9">
            <v>376750</v>
          </cell>
        </row>
        <row r="10">
          <cell r="A10" t="str">
            <v>1 Oficial / 4 Ayudantes</v>
          </cell>
          <cell r="B10">
            <v>452100</v>
          </cell>
        </row>
        <row r="11">
          <cell r="A11" t="str">
            <v>1 Oficial / 5 Ayudantes</v>
          </cell>
          <cell r="B11">
            <v>527450</v>
          </cell>
        </row>
        <row r="12">
          <cell r="A12" t="str">
            <v>1 Oficial / 6 Ayudantes</v>
          </cell>
          <cell r="B12">
            <v>602800</v>
          </cell>
        </row>
        <row r="13">
          <cell r="A13" t="str">
            <v>1 Oficial / 7 Ayudantes</v>
          </cell>
          <cell r="B13">
            <v>678150</v>
          </cell>
        </row>
        <row r="14">
          <cell r="A14" t="str">
            <v>2 Oficial / 2 Ayudantes</v>
          </cell>
          <cell r="B14">
            <v>452100</v>
          </cell>
        </row>
        <row r="15">
          <cell r="A15" t="str">
            <v>2 Oficial / 4 Ayudantes</v>
          </cell>
          <cell r="B15">
            <v>602800</v>
          </cell>
        </row>
        <row r="16">
          <cell r="A16" t="str">
            <v>2 Oficial / 6 Ayudantes</v>
          </cell>
          <cell r="B16">
            <v>753500</v>
          </cell>
        </row>
        <row r="17">
          <cell r="A17" t="str">
            <v>2 Oficial / 8 Ayudantes</v>
          </cell>
          <cell r="B17">
            <v>904200</v>
          </cell>
        </row>
        <row r="18">
          <cell r="A18" t="str">
            <v>3 Oficial / 3 Ayudantes</v>
          </cell>
          <cell r="B18">
            <v>678150</v>
          </cell>
        </row>
        <row r="19">
          <cell r="A19" t="str">
            <v>2 Ayudantes</v>
          </cell>
          <cell r="B19">
            <v>150700</v>
          </cell>
        </row>
        <row r="20">
          <cell r="A20" t="str">
            <v>3 Ayudantes</v>
          </cell>
          <cell r="B20">
            <v>226050</v>
          </cell>
        </row>
        <row r="21">
          <cell r="A21" t="str">
            <v>4 Ayudantes</v>
          </cell>
          <cell r="B21">
            <v>301400</v>
          </cell>
        </row>
        <row r="22">
          <cell r="A22"/>
          <cell r="B22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/>
        </row>
        <row r="56">
          <cell r="A56"/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/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/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/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BEA13-22D6-44CE-AD65-C4D8DA15D68A}">
  <sheetPr>
    <tabColor rgb="FFCC0000"/>
  </sheetPr>
  <dimension ref="A1:I112"/>
  <sheetViews>
    <sheetView showGridLines="0" view="pageBreakPreview" topLeftCell="A25" zoomScale="80" zoomScaleNormal="70" zoomScaleSheetLayoutView="80" workbookViewId="0">
      <selection activeCell="B62" sqref="B62"/>
    </sheetView>
  </sheetViews>
  <sheetFormatPr baseColWidth="10" defaultColWidth="11.5703125" defaultRowHeight="15"/>
  <cols>
    <col min="1" max="1" width="8.85546875" style="9" customWidth="1"/>
    <col min="2" max="2" width="23.85546875" style="3" customWidth="1"/>
    <col min="3" max="3" width="64.85546875" style="3" customWidth="1"/>
    <col min="4" max="4" width="7.5703125" style="3" customWidth="1"/>
    <col min="5" max="5" width="15.85546875" style="3" customWidth="1"/>
    <col min="6" max="6" width="25.42578125" style="3" customWidth="1"/>
    <col min="7" max="7" width="25" style="3" customWidth="1"/>
    <col min="8" max="8" width="4.85546875" style="3" customWidth="1"/>
    <col min="9" max="16384" width="11.5703125" style="3"/>
  </cols>
  <sheetData>
    <row r="1" spans="1:7" ht="54.6" customHeight="1" thickBot="1">
      <c r="A1" s="236" t="s">
        <v>440</v>
      </c>
      <c r="B1" s="237"/>
      <c r="C1" s="237"/>
      <c r="D1" s="237"/>
      <c r="E1" s="238"/>
      <c r="F1" s="1"/>
      <c r="G1" s="2"/>
    </row>
    <row r="2" spans="1:7" ht="54.6" customHeight="1" thickBot="1">
      <c r="A2" s="217" t="s">
        <v>441</v>
      </c>
      <c r="B2" s="218"/>
      <c r="C2" s="218"/>
      <c r="D2" s="218"/>
      <c r="E2" s="219"/>
      <c r="F2" s="4"/>
      <c r="G2" s="5"/>
    </row>
    <row r="3" spans="1:7" ht="32.25" customHeight="1" thickBot="1"/>
    <row r="4" spans="1:7" ht="36" customHeight="1" thickBot="1">
      <c r="A4" s="233" t="s">
        <v>505</v>
      </c>
      <c r="B4" s="234"/>
      <c r="C4" s="234"/>
      <c r="D4" s="234"/>
      <c r="E4" s="234"/>
      <c r="F4" s="234"/>
      <c r="G4" s="235"/>
    </row>
    <row r="5" spans="1:7" ht="15" customHeight="1" thickBot="1">
      <c r="C5" s="6"/>
      <c r="D5" s="6"/>
      <c r="E5" s="6"/>
      <c r="F5" s="6"/>
      <c r="G5" s="6"/>
    </row>
    <row r="6" spans="1:7" ht="15.75" thickBot="1">
      <c r="A6" s="7" t="s">
        <v>32</v>
      </c>
      <c r="B6" s="75" t="s">
        <v>33</v>
      </c>
      <c r="C6" s="75"/>
      <c r="D6" s="7" t="s">
        <v>34</v>
      </c>
      <c r="E6" s="7" t="s">
        <v>29</v>
      </c>
      <c r="F6" s="7" t="s">
        <v>35</v>
      </c>
      <c r="G6" s="7" t="s">
        <v>36</v>
      </c>
    </row>
    <row r="7" spans="1:7" ht="4.5" customHeight="1">
      <c r="A7" s="21"/>
      <c r="B7" s="8"/>
      <c r="D7" s="8"/>
      <c r="E7" s="8"/>
      <c r="F7" s="8"/>
      <c r="G7" s="8"/>
    </row>
    <row r="8" spans="1:7" ht="15.75" thickBot="1">
      <c r="A8" s="194">
        <v>1</v>
      </c>
      <c r="B8" s="220" t="s">
        <v>442</v>
      </c>
      <c r="C8" s="220"/>
      <c r="D8" s="195"/>
      <c r="E8" s="195"/>
      <c r="F8" s="195"/>
      <c r="G8" s="200">
        <f>SUM(G9:G9)</f>
        <v>0</v>
      </c>
    </row>
    <row r="9" spans="1:7" ht="15.75" thickBot="1">
      <c r="A9" s="48" t="s">
        <v>443</v>
      </c>
      <c r="B9" s="221" t="str">
        <f>VLOOKUP(A9,APU!B8:G221,2,FALSE)</f>
        <v>Localización y replanteo</v>
      </c>
      <c r="C9" s="222"/>
      <c r="D9" s="77" t="s">
        <v>452</v>
      </c>
      <c r="E9" s="203">
        <v>1</v>
      </c>
      <c r="F9" s="49">
        <f>VLOOKUP(A9,APU!B8:G221,6,FALSE)</f>
        <v>0</v>
      </c>
      <c r="G9" s="74">
        <f t="shared" ref="G9" si="0">E9*F9</f>
        <v>0</v>
      </c>
    </row>
    <row r="10" spans="1:7" ht="15.75" thickBot="1">
      <c r="A10" s="48"/>
      <c r="B10" s="161"/>
      <c r="C10" s="162"/>
      <c r="D10" s="77"/>
      <c r="E10" s="78"/>
      <c r="F10" s="49"/>
      <c r="G10" s="74"/>
    </row>
    <row r="11" spans="1:7" ht="15.75" thickBot="1">
      <c r="A11" s="196">
        <v>2</v>
      </c>
      <c r="B11" s="223" t="s">
        <v>503</v>
      </c>
      <c r="C11" s="224"/>
      <c r="D11" s="197"/>
      <c r="E11" s="198"/>
      <c r="F11" s="199"/>
      <c r="G11" s="200">
        <f>SUM(G12:G13)</f>
        <v>2047905.872</v>
      </c>
    </row>
    <row r="12" spans="1:7" ht="43.15" customHeight="1" thickBot="1">
      <c r="A12" s="48" t="s">
        <v>447</v>
      </c>
      <c r="B12" s="225" t="str">
        <f>VLOOKUP(A12,APU!B29:G235,2,FALSE)</f>
        <v>Aplicación de Pintura Tipo I, de primera calidad sobre muros revocados y/o estucados, tres manos o las necesarias hasta obtener una superficie pareja y homogénea. Incluye suministro y transporte de los materiales, resanes, tapa poros en estuco plástico tipo plastestuco o equivalente diluido en agua proporción 1:2, adecuación de la superficie a intervenir hasta obtener una superficie pareja y homogénea, color a definir según aprobación de la interventoría.</v>
      </c>
      <c r="C12" s="226"/>
      <c r="D12" s="77" t="str">
        <f>VLOOKUP(A12,APU!B29:G235,5,FALSE)</f>
        <v>m2</v>
      </c>
      <c r="E12" s="204">
        <f>2+0.3+1+1+3+1.3</f>
        <v>8.6</v>
      </c>
      <c r="F12" s="49">
        <f>VLOOKUP(A12,APU!B29:G235,6,FALSE)</f>
        <v>21907.22</v>
      </c>
      <c r="G12" s="74">
        <f t="shared" ref="G12" si="1">E12*F12</f>
        <v>188402.092</v>
      </c>
    </row>
    <row r="13" spans="1:7" ht="43.15" customHeight="1" thickBot="1">
      <c r="A13" s="48" t="s">
        <v>448</v>
      </c>
      <c r="B13" s="225" t="str">
        <f>VLOOKUP(A13,APU!B35:G241,2,FALSE)</f>
        <v>Aplicación de Pintura Esmalte sintético para Metal, de primera calidad sobre elementos metalicos, dos manos o las necesarias hasta obtener una superficie pareja y homogénea. Incluye suministro y transporte de los materiales, resanes y adecuación de la superficie a intervenir hasta obtener una superficie pareja y homogénea, color a definir según aprobación de la interventoría.</v>
      </c>
      <c r="C13" s="226"/>
      <c r="D13" s="77" t="str">
        <f>VLOOKUP(A13,APU!B35:G241,5,FALSE)</f>
        <v>m2</v>
      </c>
      <c r="E13" s="203">
        <f>(2*(6*5))+(2*(1*2.1))</f>
        <v>64.2</v>
      </c>
      <c r="F13" s="49">
        <f>VLOOKUP(A13,APU!B35:G241,6,FALSE)</f>
        <v>28964.233333333334</v>
      </c>
      <c r="G13" s="74">
        <f t="shared" ref="G13" si="2">E13*F13</f>
        <v>1859503.78</v>
      </c>
    </row>
    <row r="14" spans="1:7" ht="15.75" thickBot="1">
      <c r="A14" s="48"/>
      <c r="B14" s="227"/>
      <c r="C14" s="228"/>
      <c r="D14" s="48"/>
      <c r="E14" s="50"/>
      <c r="F14" s="49"/>
      <c r="G14" s="74"/>
    </row>
    <row r="15" spans="1:7" s="76" customFormat="1" ht="15.75" thickBot="1">
      <c r="A15" s="196">
        <v>3</v>
      </c>
      <c r="B15" s="223" t="s">
        <v>473</v>
      </c>
      <c r="C15" s="224"/>
      <c r="D15" s="197"/>
      <c r="E15" s="198"/>
      <c r="F15" s="199"/>
      <c r="G15" s="200">
        <f>SUM(G16:G18)</f>
        <v>14873635.486666666</v>
      </c>
    </row>
    <row r="16" spans="1:7" s="76" customFormat="1" ht="45" customHeight="1" thickBot="1">
      <c r="A16" s="48" t="s">
        <v>449</v>
      </c>
      <c r="B16" s="225" t="str">
        <f>VLOOKUP(A16,APU!B35:G997,2,FALSE)</f>
        <v>Cubierta inclinada de placas UPVC cresta alta 2,5mm espesor, fijadas mecánicamente, con una pendiente entre 5% al 10%. Incluye elementos de fijación, accesorios, juntas, remates perimetrales, sello de anclajes y otras piezas de remate para la resolución de puntos singulares.</v>
      </c>
      <c r="C16" s="226"/>
      <c r="D16" s="77" t="str">
        <f>VLOOKUP(A16,APU!B35:G255,5,FALSE)</f>
        <v>m2</v>
      </c>
      <c r="E16" s="203">
        <f>34.5*2</f>
        <v>69</v>
      </c>
      <c r="F16" s="49">
        <f>VLOOKUP(A16,APU!B35:G255,6,FALSE)</f>
        <v>97107.5</v>
      </c>
      <c r="G16" s="74">
        <f t="shared" ref="G16" si="3">E16*F16</f>
        <v>6700417.5</v>
      </c>
    </row>
    <row r="17" spans="1:7" s="76" customFormat="1" ht="46.15" customHeight="1" thickBot="1">
      <c r="A17" s="48" t="s">
        <v>450</v>
      </c>
      <c r="B17" s="225" t="str">
        <f>VLOOKUP(A17,APU!B35:G999,2,FALSE)</f>
        <v xml:space="preserve">Suministro, transporte e instalación de CANOA en lamina galvanizada Cal .24 d/ 0.80 m. Incluye 2 manos de anticorrosivo WASH PRIMER + esmalte + anclaje a muro +tapas laterales + sikaflex 1A) Color por definir por interventoría. </v>
      </c>
      <c r="C17" s="226"/>
      <c r="D17" s="77" t="str">
        <f>VLOOKUP(A17,APU!B35:G257,5,FALSE)</f>
        <v>ml</v>
      </c>
      <c r="E17" s="203">
        <v>70</v>
      </c>
      <c r="F17" s="49">
        <f>VLOOKUP(A17,APU!B35:G257,6,FALSE)</f>
        <v>114092.76666666666</v>
      </c>
      <c r="G17" s="74">
        <f t="shared" ref="G17" si="4">E17*F17</f>
        <v>7986493.666666666</v>
      </c>
    </row>
    <row r="18" spans="1:7" s="76" customFormat="1" ht="15.75" thickBot="1">
      <c r="A18" s="48" t="s">
        <v>451</v>
      </c>
      <c r="B18" s="225" t="str">
        <f>VLOOKUP(A18,APU!B35:G1000,2,FALSE)</f>
        <v>SUMINISTO, TRANSPORTE E INSTALACION DE EMBUDOS EN LAMINA GALVANIZADA Cal .26</v>
      </c>
      <c r="C18" s="226"/>
      <c r="D18" s="77" t="s">
        <v>39</v>
      </c>
      <c r="E18" s="203">
        <v>8</v>
      </c>
      <c r="F18" s="49">
        <f>VLOOKUP(A18,APU!B35:G258,6,FALSE)</f>
        <v>23340.54</v>
      </c>
      <c r="G18" s="74">
        <f t="shared" ref="G18" si="5">E18*F18</f>
        <v>186724.32</v>
      </c>
    </row>
    <row r="19" spans="1:7" s="76" customFormat="1" ht="15.75" thickBot="1">
      <c r="A19" s="48"/>
      <c r="B19" s="229"/>
      <c r="C19" s="230"/>
      <c r="D19" s="77"/>
      <c r="E19" s="78"/>
      <c r="F19" s="49"/>
      <c r="G19" s="74"/>
    </row>
    <row r="20" spans="1:7" s="76" customFormat="1" ht="15.75" thickBot="1">
      <c r="A20" s="196">
        <v>4</v>
      </c>
      <c r="B20" s="223" t="s">
        <v>479</v>
      </c>
      <c r="C20" s="224"/>
      <c r="D20" s="197"/>
      <c r="E20" s="198"/>
      <c r="F20" s="199"/>
      <c r="G20" s="200">
        <f>SUM(G21:G22)</f>
        <v>1019540.22</v>
      </c>
    </row>
    <row r="21" spans="1:7" s="76" customFormat="1" ht="31.15" customHeight="1" thickBot="1">
      <c r="A21" s="48" t="s">
        <v>455</v>
      </c>
      <c r="B21" s="225" t="str">
        <f>VLOOKUP(A21,APU!B35:G1004,2,FALSE)</f>
        <v>SUMINISTRO Y COLOCACIÓN DE TUBERÍA PVC-SANITARIA PVC 3" (Red sanitaria y/o Lluvia) Incluye excavación manual, cancha en muros y/o pisos, , instalación y accesorios.</v>
      </c>
      <c r="C21" s="226"/>
      <c r="D21" s="77" t="str">
        <f>VLOOKUP(A21,APU!B35:G259,5,FALSE)</f>
        <v>ml</v>
      </c>
      <c r="E21" s="203">
        <f>2*(4*4.5)</f>
        <v>36</v>
      </c>
      <c r="F21" s="49">
        <f>VLOOKUP(A21,APU!B35:G259,6,FALSE)</f>
        <v>25396.75</v>
      </c>
      <c r="G21" s="74">
        <f t="shared" ref="G21" si="6">E21*F21</f>
        <v>914283</v>
      </c>
    </row>
    <row r="22" spans="1:7" s="76" customFormat="1" ht="15.75" thickBot="1">
      <c r="A22" s="48" t="s">
        <v>456</v>
      </c>
      <c r="B22" s="225" t="str">
        <f>VLOOKUP(A22,APU!B35:G1012,2,FALSE)</f>
        <v>SUMINISTRO Y COLOCACIÓN DE REJILLA DE PISO EN ALUMINIO. Ø =  3".</v>
      </c>
      <c r="C22" s="226"/>
      <c r="D22" s="77" t="str">
        <f>VLOOKUP(A22,APU!B35:G1012,5,FALSE)</f>
        <v>un</v>
      </c>
      <c r="E22" s="203">
        <v>2</v>
      </c>
      <c r="F22" s="49">
        <f>VLOOKUP(A22,APU!B35:G1012,6,FALSE)</f>
        <v>52628.61</v>
      </c>
      <c r="G22" s="74">
        <f t="shared" ref="G22" si="7">E22*F22</f>
        <v>105257.22</v>
      </c>
    </row>
    <row r="23" spans="1:7" s="76" customFormat="1" ht="15.75" thickBot="1">
      <c r="A23" s="48"/>
      <c r="B23" s="159"/>
      <c r="C23" s="160"/>
      <c r="D23" s="77"/>
      <c r="E23" s="78"/>
      <c r="F23" s="49"/>
      <c r="G23" s="74"/>
    </row>
    <row r="24" spans="1:7" s="76" customFormat="1" ht="15.75" thickBot="1">
      <c r="A24" s="196">
        <v>5</v>
      </c>
      <c r="B24" s="223" t="s">
        <v>490</v>
      </c>
      <c r="C24" s="224"/>
      <c r="D24" s="197"/>
      <c r="E24" s="198"/>
      <c r="F24" s="199"/>
      <c r="G24" s="200">
        <f>SUM(G25:G28)</f>
        <v>4024787.5333333332</v>
      </c>
    </row>
    <row r="25" spans="1:7" s="76" customFormat="1" ht="45" customHeight="1" thickBot="1">
      <c r="A25" s="48" t="s">
        <v>458</v>
      </c>
      <c r="B25" s="225" t="str">
        <f>VLOOKUP(A25,APU!B35:G1018,2,FALSE)</f>
        <v>Suministro, transporte e instalación de cableado eléctrico, incluye tubería EMT, conectores de conexión y empalme, adaptadores terminales, curvas, tornillos, y demás accesorios y elementos para su correcta instalación y funcionamiento.</v>
      </c>
      <c r="C25" s="226"/>
      <c r="D25" s="77" t="str">
        <f>VLOOKUP(A25,APU!B35:G1018,5,FALSE)</f>
        <v>ml</v>
      </c>
      <c r="E25" s="204">
        <v>10</v>
      </c>
      <c r="F25" s="49">
        <f>VLOOKUP(A25,APU!B35:G1018,6,FALSE)</f>
        <v>41600.733333333337</v>
      </c>
      <c r="G25" s="74">
        <f t="shared" ref="G25" si="8">E25*F25</f>
        <v>416007.33333333337</v>
      </c>
    </row>
    <row r="26" spans="1:7" s="76" customFormat="1" ht="45" customHeight="1" thickBot="1">
      <c r="A26" s="48" t="s">
        <v>460</v>
      </c>
      <c r="B26" s="225" t="str">
        <f>VLOOKUP(A26,APU!B35:G1020,2,FALSE)</f>
        <v>Suministro, transporte e instalación de salida eléctrica de interruptor sencillo. Incluye aparato electrico con tapa suplemento, conectores de conexión y empalme, adaptadores terminales, curvas, tornillos, y demás accesorios y elementos para su correcta instalación y funcionamiento. Hasta 3 MTS de salida.</v>
      </c>
      <c r="C26" s="226"/>
      <c r="D26" s="77" t="str">
        <f>VLOOKUP(A26,APU!B35:G1020,5,FALSE)</f>
        <v>un</v>
      </c>
      <c r="E26" s="203">
        <v>4</v>
      </c>
      <c r="F26" s="49">
        <f>VLOOKUP(A26,APU!B35:G1020,6,FALSE)</f>
        <v>78556.800000000003</v>
      </c>
      <c r="G26" s="74">
        <f t="shared" ref="G26" si="9">E26*F26</f>
        <v>314227.20000000001</v>
      </c>
    </row>
    <row r="27" spans="1:7" s="76" customFormat="1" ht="45" customHeight="1" thickBot="1">
      <c r="A27" s="48" t="s">
        <v>461</v>
      </c>
      <c r="B27" s="225" t="str">
        <f>VLOOKUP(A27,APU!B35:G1022,2,FALSE)</f>
        <v>Suministro e instalación Panel Led Empotrar Cuadrado 18W Luz Fría. Incluye salida electrica, caja 4x4 o similar, tapa suplemento, conectores de conexión, adaptadores terminales, curvas, tornillos, 3 metros de cable encauchetado, elementos de fijación y demás elementos necesarios para su correcta instalación.</v>
      </c>
      <c r="C27" s="226"/>
      <c r="D27" s="77" t="str">
        <f>VLOOKUP(A27,APU!B35:G1022,5,FALSE)</f>
        <v>un</v>
      </c>
      <c r="E27" s="203">
        <v>5</v>
      </c>
      <c r="F27" s="49">
        <f>VLOOKUP(A27,APU!B35:G1022,6,FALSE)</f>
        <v>110540.2</v>
      </c>
      <c r="G27" s="74">
        <f t="shared" ref="G27" si="10">E27*F27</f>
        <v>552701</v>
      </c>
    </row>
    <row r="28" spans="1:7" s="76" customFormat="1" ht="45" customHeight="1" thickBot="1">
      <c r="A28" s="48" t="s">
        <v>462</v>
      </c>
      <c r="B28" s="225" t="str">
        <f>VLOOKUP(A28,APU!B35:G1023,2,FALSE)</f>
        <v>Suministro e instalación Reflector Led 100W Ip65. Incluye salida electrica, caja 4x4 o similar, tapa suplemento, conectores de conexión, adaptadores terminales, curvas, tornillos, 3 metros de cable encauchetado, elementos de fijación y demás elementos necesarios para su correcta instalación.</v>
      </c>
      <c r="C28" s="226"/>
      <c r="D28" s="77" t="str">
        <f>VLOOKUP(A28,APU!B35:G1023,5,FALSE)</f>
        <v>un</v>
      </c>
      <c r="E28" s="203">
        <v>10</v>
      </c>
      <c r="F28" s="49">
        <f>VLOOKUP(A28,APU!B35:G1023,6,FALSE)</f>
        <v>274185.2</v>
      </c>
      <c r="G28" s="74">
        <f t="shared" ref="G28" si="11">E28*F28</f>
        <v>2741852</v>
      </c>
    </row>
    <row r="29" spans="1:7" s="76" customFormat="1" ht="15.75" thickBot="1">
      <c r="A29" s="48"/>
      <c r="B29" s="159"/>
      <c r="C29" s="160"/>
      <c r="D29" s="77"/>
      <c r="E29" s="77"/>
      <c r="F29" s="49"/>
      <c r="G29" s="74"/>
    </row>
    <row r="31" spans="1:7">
      <c r="A31" s="15"/>
      <c r="B31" s="16"/>
      <c r="C31" s="16"/>
      <c r="D31" s="17"/>
      <c r="E31" s="17"/>
      <c r="F31" s="18" t="s">
        <v>40</v>
      </c>
      <c r="G31" s="19">
        <f>SUM(G8:G29)/2</f>
        <v>21965869.112</v>
      </c>
    </row>
    <row r="32" spans="1:7">
      <c r="A32" s="21"/>
      <c r="B32" s="21"/>
      <c r="D32" s="21"/>
      <c r="E32" s="22" t="s">
        <v>514</v>
      </c>
      <c r="F32" s="215">
        <f>+'CALCULO AU'!H55</f>
        <v>0.26</v>
      </c>
      <c r="G32" s="23">
        <f>G31*F32</f>
        <v>5711125.9691200005</v>
      </c>
    </row>
    <row r="33" spans="1:9">
      <c r="A33" s="21"/>
      <c r="B33" s="8"/>
      <c r="D33" s="24"/>
      <c r="E33" s="22"/>
      <c r="F33" s="25"/>
      <c r="G33" s="25"/>
    </row>
    <row r="34" spans="1:9">
      <c r="A34" s="21"/>
      <c r="B34" s="8"/>
      <c r="D34" s="24"/>
      <c r="E34" s="22"/>
      <c r="F34" s="18" t="s">
        <v>36</v>
      </c>
      <c r="G34" s="216">
        <f>G31+G32</f>
        <v>27676995.081119999</v>
      </c>
    </row>
    <row r="35" spans="1:9">
      <c r="A35" s="21"/>
      <c r="B35" s="8"/>
      <c r="C35" s="26"/>
      <c r="D35" s="22"/>
      <c r="E35" s="25"/>
    </row>
    <row r="36" spans="1:9">
      <c r="B36" s="8"/>
      <c r="C36" s="8"/>
      <c r="D36" s="26"/>
      <c r="E36" s="22"/>
      <c r="F36" s="25"/>
      <c r="G36" s="27"/>
    </row>
    <row r="37" spans="1:9">
      <c r="B37" s="8"/>
      <c r="C37" s="21"/>
      <c r="D37" s="21"/>
      <c r="E37" s="22"/>
      <c r="F37" s="12"/>
      <c r="G37" s="21"/>
    </row>
    <row r="38" spans="1:9">
      <c r="B38" s="8"/>
      <c r="C38" s="8"/>
      <c r="D38" s="26"/>
      <c r="E38" s="22"/>
      <c r="F38" s="25"/>
      <c r="G38" s="25"/>
      <c r="H38" s="25"/>
      <c r="I38" s="25"/>
    </row>
    <row r="39" spans="1:9">
      <c r="B39" s="8"/>
      <c r="C39" s="8"/>
      <c r="D39" s="26"/>
      <c r="E39" s="22"/>
      <c r="F39" s="25"/>
      <c r="G39" s="25"/>
      <c r="H39" s="25"/>
      <c r="I39" s="25"/>
    </row>
    <row r="40" spans="1:9">
      <c r="D40" s="28"/>
      <c r="E40" s="29"/>
      <c r="F40" s="13"/>
      <c r="G40" s="13"/>
      <c r="H40" s="13"/>
      <c r="I40" s="13"/>
    </row>
    <row r="41" spans="1:9">
      <c r="D41" s="9"/>
      <c r="E41" s="29"/>
      <c r="F41" s="13"/>
      <c r="G41" s="20"/>
    </row>
    <row r="42" spans="1:9">
      <c r="C42" s="9"/>
      <c r="D42" s="9"/>
      <c r="E42" s="29"/>
      <c r="F42" s="11"/>
      <c r="G42" s="9"/>
    </row>
    <row r="43" spans="1:9">
      <c r="D43" s="30"/>
      <c r="E43" s="29"/>
      <c r="F43" s="13"/>
      <c r="G43" s="13"/>
    </row>
    <row r="44" spans="1:9">
      <c r="D44" s="9"/>
      <c r="E44" s="29"/>
      <c r="F44" s="13"/>
      <c r="G44" s="10"/>
    </row>
    <row r="45" spans="1:9">
      <c r="C45" s="9"/>
      <c r="D45" s="9"/>
      <c r="E45" s="29"/>
      <c r="F45" s="12"/>
      <c r="G45" s="9"/>
    </row>
    <row r="46" spans="1:9">
      <c r="D46" s="30"/>
      <c r="E46" s="29"/>
      <c r="F46" s="13"/>
      <c r="G46" s="13"/>
    </row>
    <row r="47" spans="1:9">
      <c r="D47" s="30"/>
      <c r="E47" s="29"/>
      <c r="F47" s="13"/>
      <c r="G47" s="13"/>
    </row>
    <row r="48" spans="1:9">
      <c r="D48" s="30"/>
      <c r="E48" s="29"/>
      <c r="F48" s="32"/>
      <c r="G48" s="32"/>
    </row>
    <row r="49" spans="3:7">
      <c r="D49" s="30"/>
      <c r="E49" s="29"/>
      <c r="F49" s="32"/>
      <c r="G49" s="32"/>
    </row>
    <row r="50" spans="3:7">
      <c r="D50" s="30"/>
      <c r="E50" s="29"/>
      <c r="F50" s="32"/>
      <c r="G50" s="32"/>
    </row>
    <row r="51" spans="3:7" ht="15.75">
      <c r="C51" s="232"/>
      <c r="D51" s="232"/>
      <c r="E51" s="33"/>
      <c r="F51" s="11"/>
      <c r="G51" s="32"/>
    </row>
    <row r="52" spans="3:7" ht="15.75">
      <c r="C52" s="34"/>
      <c r="D52" s="9"/>
      <c r="E52" s="29"/>
      <c r="F52" s="31"/>
      <c r="G52" s="9"/>
    </row>
    <row r="53" spans="3:7">
      <c r="D53" s="14"/>
      <c r="E53" s="29"/>
      <c r="F53" s="13"/>
      <c r="G53" s="13"/>
    </row>
    <row r="54" spans="3:7">
      <c r="D54" s="14"/>
      <c r="E54" s="29"/>
      <c r="F54" s="13"/>
      <c r="G54" s="13"/>
    </row>
    <row r="55" spans="3:7">
      <c r="D55" s="14"/>
      <c r="E55" s="29"/>
      <c r="F55" s="13"/>
      <c r="G55" s="13"/>
    </row>
    <row r="56" spans="3:7" ht="18.75">
      <c r="C56" s="35"/>
      <c r="E56" s="36"/>
      <c r="F56" s="37"/>
    </row>
    <row r="58" spans="3:7" ht="18.75" customHeight="1"/>
    <row r="59" spans="3:7" ht="16.5" customHeight="1">
      <c r="C59" s="38"/>
      <c r="D59" s="38"/>
      <c r="E59" s="39"/>
      <c r="F59" s="40"/>
      <c r="G59" s="40"/>
    </row>
    <row r="60" spans="3:7" ht="15.75">
      <c r="C60" s="38"/>
      <c r="D60" s="38"/>
      <c r="E60" s="39"/>
      <c r="F60" s="40"/>
      <c r="G60" s="40"/>
    </row>
    <row r="61" spans="3:7" ht="15.75">
      <c r="C61" s="38"/>
      <c r="D61" s="38"/>
      <c r="E61" s="41"/>
      <c r="F61" s="42"/>
      <c r="G61" s="42"/>
    </row>
    <row r="62" spans="3:7" ht="15.75">
      <c r="C62" s="38"/>
      <c r="D62" s="38"/>
      <c r="E62" s="41"/>
      <c r="F62" s="42"/>
      <c r="G62" s="42"/>
    </row>
    <row r="63" spans="3:7" ht="15.75">
      <c r="C63" s="38"/>
      <c r="D63" s="38"/>
      <c r="E63" s="41"/>
      <c r="F63" s="42"/>
      <c r="G63" s="42"/>
    </row>
    <row r="64" spans="3:7" ht="15.75">
      <c r="C64" s="38"/>
      <c r="D64" s="38"/>
      <c r="E64" s="41"/>
      <c r="F64" s="42"/>
      <c r="G64" s="42"/>
    </row>
    <row r="65" spans="3:7" ht="15.75">
      <c r="C65" s="43"/>
      <c r="D65" s="43"/>
      <c r="E65" s="44"/>
      <c r="F65" s="45"/>
      <c r="G65" s="42"/>
    </row>
    <row r="66" spans="3:7" ht="15.75">
      <c r="C66" s="43"/>
      <c r="D66" s="43"/>
      <c r="E66" s="44"/>
      <c r="F66" s="45"/>
      <c r="G66" s="42"/>
    </row>
    <row r="67" spans="3:7" ht="15.75">
      <c r="C67" s="43"/>
      <c r="D67" s="43"/>
      <c r="E67" s="44"/>
      <c r="F67" s="42"/>
      <c r="G67" s="42"/>
    </row>
    <row r="68" spans="3:7" ht="15.75">
      <c r="C68" s="43"/>
      <c r="D68" s="43"/>
      <c r="E68" s="44"/>
      <c r="F68" s="42"/>
      <c r="G68" s="42"/>
    </row>
    <row r="69" spans="3:7" ht="15.75">
      <c r="C69" s="38"/>
      <c r="D69" s="38"/>
      <c r="E69" s="41"/>
      <c r="F69" s="42"/>
      <c r="G69" s="42"/>
    </row>
    <row r="70" spans="3:7" ht="15.75">
      <c r="C70" s="38"/>
      <c r="D70" s="38"/>
      <c r="E70" s="41"/>
      <c r="F70" s="42"/>
      <c r="G70" s="42"/>
    </row>
    <row r="71" spans="3:7" ht="15.75">
      <c r="C71" s="38"/>
      <c r="D71" s="38"/>
      <c r="E71" s="41"/>
      <c r="F71" s="42"/>
      <c r="G71" s="42"/>
    </row>
    <row r="72" spans="3:7" ht="15.75">
      <c r="C72" s="38"/>
      <c r="D72" s="38"/>
      <c r="E72" s="41"/>
      <c r="F72" s="42"/>
      <c r="G72" s="42"/>
    </row>
    <row r="73" spans="3:7" ht="15.75">
      <c r="C73" s="43"/>
      <c r="D73" s="43"/>
      <c r="E73" s="44"/>
      <c r="F73" s="42"/>
      <c r="G73" s="42"/>
    </row>
    <row r="74" spans="3:7" ht="15.75">
      <c r="C74" s="43"/>
      <c r="D74" s="43"/>
      <c r="E74" s="44"/>
      <c r="F74" s="42"/>
      <c r="G74" s="42"/>
    </row>
    <row r="75" spans="3:7" ht="15.75">
      <c r="C75" s="38"/>
      <c r="D75" s="38"/>
      <c r="E75" s="41"/>
      <c r="F75" s="40"/>
      <c r="G75" s="40"/>
    </row>
    <row r="76" spans="3:7" ht="15.75">
      <c r="C76" s="38"/>
      <c r="D76" s="38"/>
      <c r="E76" s="41"/>
      <c r="F76" s="40"/>
      <c r="G76" s="40"/>
    </row>
    <row r="77" spans="3:7" ht="15.75">
      <c r="C77" s="38"/>
      <c r="D77" s="38"/>
      <c r="E77" s="41"/>
      <c r="F77" s="46"/>
      <c r="G77" s="46"/>
    </row>
    <row r="78" spans="3:7" ht="15.75">
      <c r="C78" s="38"/>
      <c r="D78" s="38"/>
      <c r="E78" s="41"/>
      <c r="F78" s="46"/>
      <c r="G78" s="46"/>
    </row>
    <row r="79" spans="3:7" ht="15.75">
      <c r="C79" s="38"/>
      <c r="D79" s="38"/>
      <c r="E79" s="41"/>
      <c r="F79" s="40"/>
      <c r="G79" s="40"/>
    </row>
    <row r="80" spans="3:7" ht="15.75">
      <c r="C80" s="38"/>
      <c r="D80" s="38"/>
      <c r="E80" s="41"/>
      <c r="F80" s="40"/>
      <c r="G80" s="40"/>
    </row>
    <row r="81" spans="3:7" ht="15.75">
      <c r="C81" s="38"/>
      <c r="D81" s="38"/>
      <c r="E81" s="41"/>
      <c r="F81" s="46"/>
      <c r="G81" s="42"/>
    </row>
    <row r="82" spans="3:7" ht="15.75">
      <c r="C82" s="38"/>
      <c r="D82" s="38"/>
      <c r="E82" s="41"/>
      <c r="F82" s="46"/>
      <c r="G82" s="42"/>
    </row>
    <row r="83" spans="3:7" ht="15.75">
      <c r="C83" s="38"/>
      <c r="D83" s="38"/>
      <c r="E83" s="41"/>
      <c r="F83" s="42"/>
      <c r="G83" s="42"/>
    </row>
    <row r="84" spans="3:7" ht="15.75">
      <c r="C84" s="38"/>
      <c r="D84" s="38"/>
      <c r="E84" s="41"/>
      <c r="F84" s="42"/>
      <c r="G84" s="42"/>
    </row>
    <row r="85" spans="3:7" ht="15.75">
      <c r="C85" s="38"/>
      <c r="D85" s="38"/>
      <c r="E85" s="41"/>
      <c r="F85" s="47"/>
      <c r="G85" s="47"/>
    </row>
    <row r="86" spans="3:7" ht="15.75">
      <c r="C86" s="38"/>
      <c r="D86" s="38"/>
      <c r="E86" s="41"/>
      <c r="F86" s="47"/>
      <c r="G86" s="47"/>
    </row>
    <row r="87" spans="3:7" ht="15.75">
      <c r="C87" s="38"/>
      <c r="D87" s="38"/>
      <c r="E87" s="41"/>
      <c r="F87" s="42"/>
      <c r="G87" s="42"/>
    </row>
    <row r="88" spans="3:7" ht="15.75">
      <c r="C88" s="38"/>
      <c r="D88" s="38"/>
      <c r="E88" s="41"/>
      <c r="F88" s="42"/>
      <c r="G88" s="42"/>
    </row>
    <row r="89" spans="3:7">
      <c r="C89" s="231"/>
      <c r="D89" s="231"/>
      <c r="E89" s="9"/>
      <c r="F89" s="9"/>
      <c r="G89" s="9"/>
    </row>
    <row r="90" spans="3:7" ht="15" customHeight="1">
      <c r="C90" s="38"/>
      <c r="D90" s="38"/>
      <c r="E90" s="38"/>
      <c r="F90" s="38"/>
      <c r="G90" s="38"/>
    </row>
    <row r="91" spans="3:7" ht="15" customHeight="1">
      <c r="C91" s="38"/>
      <c r="D91" s="38"/>
      <c r="E91" s="38"/>
      <c r="F91" s="38"/>
      <c r="G91" s="38"/>
    </row>
    <row r="92" spans="3:7" ht="15" customHeight="1">
      <c r="C92" s="38"/>
      <c r="D92" s="38"/>
      <c r="E92" s="38"/>
      <c r="F92" s="38"/>
      <c r="G92" s="38"/>
    </row>
    <row r="93" spans="3:7" ht="15" customHeight="1">
      <c r="C93" s="38"/>
      <c r="D93" s="38"/>
      <c r="E93" s="38"/>
      <c r="F93" s="38"/>
      <c r="G93" s="38"/>
    </row>
    <row r="94" spans="3:7" ht="15" customHeight="1">
      <c r="C94" s="38"/>
      <c r="D94" s="38"/>
      <c r="E94" s="38"/>
      <c r="F94" s="38"/>
      <c r="G94" s="38"/>
    </row>
    <row r="95" spans="3:7" ht="15" customHeight="1">
      <c r="C95" s="38"/>
      <c r="D95" s="38"/>
      <c r="E95" s="38"/>
      <c r="F95" s="38"/>
      <c r="G95" s="38"/>
    </row>
    <row r="96" spans="3:7" ht="15" customHeight="1">
      <c r="C96" s="38"/>
      <c r="D96" s="38"/>
      <c r="E96" s="38"/>
      <c r="F96" s="38"/>
      <c r="G96" s="38"/>
    </row>
    <row r="97" spans="3:7" ht="15" customHeight="1">
      <c r="C97" s="38"/>
      <c r="D97" s="38"/>
      <c r="E97" s="38"/>
      <c r="F97" s="38"/>
      <c r="G97" s="38"/>
    </row>
    <row r="98" spans="3:7" ht="15" customHeight="1">
      <c r="C98" s="38"/>
      <c r="D98" s="38"/>
      <c r="E98" s="38"/>
      <c r="F98" s="38"/>
      <c r="G98" s="38"/>
    </row>
    <row r="99" spans="3:7" ht="15" customHeight="1">
      <c r="C99" s="38"/>
      <c r="D99" s="38"/>
      <c r="E99" s="38"/>
      <c r="F99" s="38"/>
      <c r="G99" s="38"/>
    </row>
    <row r="100" spans="3:7" ht="15" customHeight="1">
      <c r="C100" s="38"/>
      <c r="D100" s="38"/>
      <c r="E100" s="38"/>
      <c r="F100" s="38"/>
      <c r="G100" s="38"/>
    </row>
    <row r="101" spans="3:7" ht="15" customHeight="1">
      <c r="C101" s="38"/>
      <c r="D101" s="38"/>
      <c r="E101" s="38"/>
      <c r="F101" s="38"/>
      <c r="G101" s="38"/>
    </row>
    <row r="102" spans="3:7" ht="15" customHeight="1">
      <c r="C102" s="38"/>
      <c r="D102" s="38"/>
      <c r="E102" s="38"/>
      <c r="F102" s="38"/>
      <c r="G102" s="38"/>
    </row>
    <row r="103" spans="3:7" ht="15" customHeight="1">
      <c r="C103" s="38"/>
      <c r="D103" s="38"/>
      <c r="E103" s="38"/>
      <c r="F103" s="38"/>
      <c r="G103" s="38"/>
    </row>
    <row r="104" spans="3:7" ht="15" customHeight="1">
      <c r="C104" s="38"/>
      <c r="D104" s="38"/>
      <c r="E104" s="38"/>
      <c r="F104" s="38"/>
      <c r="G104" s="38"/>
    </row>
    <row r="105" spans="3:7" ht="15" customHeight="1">
      <c r="C105" s="38"/>
      <c r="D105" s="38"/>
      <c r="E105" s="38"/>
      <c r="F105" s="38"/>
      <c r="G105" s="38"/>
    </row>
    <row r="106" spans="3:7" ht="15" customHeight="1">
      <c r="C106" s="38"/>
      <c r="D106" s="38"/>
      <c r="E106" s="38"/>
      <c r="F106" s="38"/>
      <c r="G106" s="38"/>
    </row>
    <row r="107" spans="3:7" ht="15" customHeight="1">
      <c r="C107" s="38"/>
      <c r="D107" s="38"/>
      <c r="E107" s="38"/>
      <c r="F107" s="38"/>
      <c r="G107" s="38"/>
    </row>
    <row r="108" spans="3:7" ht="15" customHeight="1">
      <c r="C108" s="38"/>
      <c r="D108" s="38"/>
      <c r="E108" s="38"/>
      <c r="F108" s="38"/>
      <c r="G108" s="38"/>
    </row>
    <row r="109" spans="3:7" ht="15" customHeight="1">
      <c r="C109" s="38"/>
      <c r="D109" s="38"/>
      <c r="E109" s="38"/>
      <c r="F109" s="38"/>
      <c r="G109" s="38"/>
    </row>
    <row r="110" spans="3:7" ht="15" customHeight="1">
      <c r="C110" s="38"/>
      <c r="D110" s="38"/>
      <c r="E110" s="38"/>
      <c r="F110" s="38"/>
      <c r="G110" s="38"/>
    </row>
    <row r="111" spans="3:7" ht="15" customHeight="1">
      <c r="C111" s="38"/>
      <c r="D111" s="38"/>
      <c r="E111" s="38"/>
      <c r="F111" s="38"/>
      <c r="G111" s="38"/>
    </row>
    <row r="112" spans="3:7" ht="15" customHeight="1">
      <c r="C112" s="38"/>
      <c r="D112" s="38"/>
      <c r="E112" s="38"/>
      <c r="F112" s="38"/>
      <c r="G112" s="38"/>
    </row>
  </sheetData>
  <sheetProtection selectLockedCells="1" selectUnlockedCells="1"/>
  <dataConsolidate/>
  <mergeCells count="24">
    <mergeCell ref="A1:E1"/>
    <mergeCell ref="A2:E2"/>
    <mergeCell ref="B24:C24"/>
    <mergeCell ref="B8:C8"/>
    <mergeCell ref="B9:C9"/>
    <mergeCell ref="B15:C15"/>
    <mergeCell ref="B16:C16"/>
    <mergeCell ref="B19:C19"/>
    <mergeCell ref="B17:C17"/>
    <mergeCell ref="B18:C18"/>
    <mergeCell ref="B20:C20"/>
    <mergeCell ref="B13:C13"/>
    <mergeCell ref="B22:C22"/>
    <mergeCell ref="B21:C21"/>
    <mergeCell ref="C89:D89"/>
    <mergeCell ref="A4:G4"/>
    <mergeCell ref="C51:D51"/>
    <mergeCell ref="B14:C14"/>
    <mergeCell ref="B12:C12"/>
    <mergeCell ref="B11:C11"/>
    <mergeCell ref="B25:C25"/>
    <mergeCell ref="B27:C27"/>
    <mergeCell ref="B28:C28"/>
    <mergeCell ref="B26:C26"/>
  </mergeCells>
  <phoneticPr fontId="8" type="noConversion"/>
  <dataValidations count="1">
    <dataValidation type="list" allowBlank="1" showInputMessage="1" showErrorMessage="1" sqref="B14:C14 C25:C29 B19 C16:C18 C21:C23" xr:uid="{0103648B-1DFE-4B16-96C5-0A408285721F}">
      <formula1>Actividad</formula1>
    </dataValidation>
  </dataValidations>
  <pageMargins left="0.70866141732283472" right="0.70866141732283472" top="0.74803149606299213" bottom="0.74803149606299213" header="0.31496062992125984" footer="0.31496062992125984"/>
  <pageSetup scale="48" firstPageNumber="0" fitToWidth="2" fitToHeight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8B830-88D6-4B81-BCED-A7D0B2B5C9AA}">
  <sheetPr>
    <tabColor theme="7" tint="0.59999389629810485"/>
  </sheetPr>
  <dimension ref="B1:G459"/>
  <sheetViews>
    <sheetView view="pageBreakPreview" topLeftCell="A242" zoomScale="80" zoomScaleNormal="100" zoomScaleSheetLayoutView="80" workbookViewId="0">
      <selection activeCell="D242" sqref="D242"/>
    </sheetView>
  </sheetViews>
  <sheetFormatPr baseColWidth="10" defaultColWidth="11.5703125" defaultRowHeight="12.75"/>
  <cols>
    <col min="1" max="1" width="2.7109375" style="165" customWidth="1"/>
    <col min="2" max="3" width="23.42578125" style="165" customWidth="1"/>
    <col min="4" max="4" width="12.7109375" style="165" customWidth="1"/>
    <col min="5" max="5" width="16.28515625" style="165" customWidth="1"/>
    <col min="6" max="6" width="13.85546875" style="165" customWidth="1"/>
    <col min="7" max="7" width="21.5703125" style="165" customWidth="1"/>
    <col min="8" max="8" width="3.140625" style="165" customWidth="1"/>
    <col min="9" max="16384" width="11.5703125" style="165"/>
  </cols>
  <sheetData>
    <row r="1" spans="2:7" ht="34.15" customHeight="1">
      <c r="B1" s="239" t="s">
        <v>440</v>
      </c>
      <c r="C1" s="239"/>
      <c r="D1" s="239"/>
      <c r="E1" s="239"/>
      <c r="F1" s="239"/>
      <c r="G1" s="239"/>
    </row>
    <row r="2" spans="2:7" ht="34.15" customHeight="1">
      <c r="B2" s="239" t="s">
        <v>441</v>
      </c>
      <c r="C2" s="239"/>
      <c r="D2" s="239"/>
      <c r="E2" s="239"/>
      <c r="F2" s="239"/>
      <c r="G2" s="239"/>
    </row>
    <row r="3" spans="2:7">
      <c r="B3" s="245"/>
      <c r="C3" s="245"/>
      <c r="D3" s="245"/>
      <c r="E3" s="245"/>
      <c r="F3" s="245"/>
      <c r="G3" s="245"/>
    </row>
    <row r="4" spans="2:7">
      <c r="B4" s="239" t="s">
        <v>4</v>
      </c>
      <c r="C4" s="239"/>
      <c r="D4" s="239"/>
      <c r="E4" s="239"/>
      <c r="F4" s="239"/>
      <c r="G4" s="239"/>
    </row>
    <row r="5" spans="2:7">
      <c r="B5" s="244"/>
      <c r="C5" s="244"/>
      <c r="D5" s="245"/>
      <c r="E5" s="245"/>
      <c r="F5" s="245"/>
      <c r="G5" s="245"/>
    </row>
    <row r="6" spans="2:7" ht="27" customHeight="1">
      <c r="B6" s="166" t="s">
        <v>5</v>
      </c>
      <c r="C6" s="240" t="s">
        <v>505</v>
      </c>
      <c r="D6" s="240"/>
      <c r="E6" s="240"/>
      <c r="F6" s="240"/>
      <c r="G6" s="240"/>
    </row>
    <row r="7" spans="2:7">
      <c r="B7" s="164" t="s">
        <v>7</v>
      </c>
      <c r="C7" s="248" t="s">
        <v>6</v>
      </c>
      <c r="D7" s="249"/>
      <c r="E7" s="249"/>
      <c r="F7" s="164" t="s">
        <v>8</v>
      </c>
      <c r="G7" s="164" t="s">
        <v>445</v>
      </c>
    </row>
    <row r="8" spans="2:7" ht="41.45" customHeight="1">
      <c r="B8" s="211" t="s">
        <v>443</v>
      </c>
      <c r="C8" s="246" t="s">
        <v>446</v>
      </c>
      <c r="D8" s="247"/>
      <c r="E8" s="247"/>
      <c r="F8" s="212" t="s">
        <v>39</v>
      </c>
      <c r="G8" s="213">
        <f>G33*0</f>
        <v>0</v>
      </c>
    </row>
    <row r="9" spans="2:7">
      <c r="B9" s="168"/>
      <c r="C9" s="169"/>
      <c r="D9" s="168"/>
      <c r="E9" s="170"/>
      <c r="F9" s="171"/>
      <c r="G9" s="169"/>
    </row>
    <row r="10" spans="2:7">
      <c r="B10" s="167" t="s">
        <v>9</v>
      </c>
      <c r="C10" s="172"/>
      <c r="D10" s="172"/>
      <c r="E10" s="173"/>
      <c r="F10" s="174"/>
      <c r="G10" s="172"/>
    </row>
    <row r="11" spans="2:7">
      <c r="B11" s="241" t="s">
        <v>0</v>
      </c>
      <c r="C11" s="241"/>
      <c r="D11" s="175" t="s">
        <v>1</v>
      </c>
      <c r="E11" s="176" t="s">
        <v>10</v>
      </c>
      <c r="F11" s="174" t="s">
        <v>11</v>
      </c>
      <c r="G11" s="175" t="s">
        <v>12</v>
      </c>
    </row>
    <row r="12" spans="2:7">
      <c r="B12" s="242" t="s">
        <v>62</v>
      </c>
      <c r="C12" s="242"/>
      <c r="D12" s="175" t="s">
        <v>13</v>
      </c>
      <c r="E12" s="173">
        <f>G31*0.1</f>
        <v>35292</v>
      </c>
      <c r="F12" s="177">
        <v>1</v>
      </c>
      <c r="G12" s="173">
        <f>F12*E12</f>
        <v>35292</v>
      </c>
    </row>
    <row r="13" spans="2:7">
      <c r="B13" s="241"/>
      <c r="C13" s="241"/>
      <c r="D13" s="175"/>
      <c r="E13" s="173"/>
      <c r="F13" s="177"/>
      <c r="G13" s="173"/>
    </row>
    <row r="14" spans="2:7">
      <c r="B14" s="169"/>
      <c r="C14" s="169"/>
      <c r="D14" s="169"/>
      <c r="E14" s="178"/>
      <c r="F14" s="171"/>
      <c r="G14" s="179">
        <f>SUM(G12:G13)</f>
        <v>35292</v>
      </c>
    </row>
    <row r="15" spans="2:7">
      <c r="B15" s="167" t="s">
        <v>14</v>
      </c>
      <c r="C15" s="172"/>
      <c r="D15" s="172"/>
      <c r="E15" s="173"/>
      <c r="F15" s="174"/>
      <c r="G15" s="172"/>
    </row>
    <row r="16" spans="2:7">
      <c r="B16" s="241" t="s">
        <v>0</v>
      </c>
      <c r="C16" s="241"/>
      <c r="D16" s="175" t="s">
        <v>1</v>
      </c>
      <c r="E16" s="176" t="s">
        <v>10</v>
      </c>
      <c r="F16" s="174" t="s">
        <v>15</v>
      </c>
      <c r="G16" s="175" t="s">
        <v>12</v>
      </c>
    </row>
    <row r="17" spans="2:7">
      <c r="B17" s="242"/>
      <c r="C17" s="242"/>
      <c r="D17" s="175" t="str">
        <f>IF(B17="","",VLOOKUP(B17,mat,2,FALSE))</f>
        <v/>
      </c>
      <c r="E17" s="175">
        <v>0</v>
      </c>
      <c r="F17" s="177"/>
      <c r="G17" s="180">
        <f>F17*E17</f>
        <v>0</v>
      </c>
    </row>
    <row r="18" spans="2:7">
      <c r="B18" s="242"/>
      <c r="C18" s="242"/>
      <c r="D18" s="175" t="str">
        <f>IF(B18="","",VLOOKUP(B18,mat,2,FALSE))</f>
        <v/>
      </c>
      <c r="E18" s="175" t="str">
        <f>IF(B18="","0",VLOOKUP(B18,mat,3,FALSE))</f>
        <v>0</v>
      </c>
      <c r="F18" s="177">
        <v>0</v>
      </c>
      <c r="G18" s="180">
        <f t="shared" ref="G18:G19" si="0">F18*E18</f>
        <v>0</v>
      </c>
    </row>
    <row r="19" spans="2:7">
      <c r="B19" s="241"/>
      <c r="C19" s="241"/>
      <c r="D19" s="175" t="str">
        <f>IF(B19="","",VLOOKUP(B19,mat,2,FALSE))</f>
        <v/>
      </c>
      <c r="E19" s="175" t="str">
        <f>IF(B19="","0",VLOOKUP(B19,mat,3,FALSE))</f>
        <v>0</v>
      </c>
      <c r="F19" s="177">
        <v>0</v>
      </c>
      <c r="G19" s="180">
        <f t="shared" si="0"/>
        <v>0</v>
      </c>
    </row>
    <row r="20" spans="2:7">
      <c r="B20" s="169"/>
      <c r="C20" s="169"/>
      <c r="D20" s="169"/>
      <c r="E20" s="178"/>
      <c r="F20" s="171"/>
      <c r="G20" s="179">
        <f>SUM(G17:G19)</f>
        <v>0</v>
      </c>
    </row>
    <row r="21" spans="2:7">
      <c r="B21" s="167" t="s">
        <v>16</v>
      </c>
      <c r="C21" s="172"/>
      <c r="D21" s="172"/>
      <c r="E21" s="173"/>
      <c r="F21" s="174"/>
      <c r="G21" s="172"/>
    </row>
    <row r="22" spans="2:7" ht="14.25">
      <c r="B22" s="175" t="s">
        <v>17</v>
      </c>
      <c r="C22" s="175" t="s">
        <v>18</v>
      </c>
      <c r="D22" s="175" t="s">
        <v>19</v>
      </c>
      <c r="E22" s="176" t="s">
        <v>444</v>
      </c>
      <c r="F22" s="174" t="s">
        <v>20</v>
      </c>
      <c r="G22" s="175" t="s">
        <v>12</v>
      </c>
    </row>
    <row r="23" spans="2:7">
      <c r="B23" s="172"/>
      <c r="C23" s="175"/>
      <c r="D23" s="175"/>
      <c r="E23" s="181">
        <v>0</v>
      </c>
      <c r="F23" s="177">
        <v>0</v>
      </c>
      <c r="G23" s="173">
        <f>F23*E23</f>
        <v>0</v>
      </c>
    </row>
    <row r="24" spans="2:7">
      <c r="B24" s="172"/>
      <c r="C24" s="172"/>
      <c r="D24" s="172"/>
      <c r="E24" s="173"/>
      <c r="F24" s="174"/>
      <c r="G24" s="172"/>
    </row>
    <row r="25" spans="2:7">
      <c r="B25" s="169"/>
      <c r="C25" s="169"/>
      <c r="D25" s="169"/>
      <c r="E25" s="178"/>
      <c r="F25" s="171"/>
      <c r="G25" s="179">
        <f>SUM(G23:G24)</f>
        <v>0</v>
      </c>
    </row>
    <row r="26" spans="2:7">
      <c r="B26" s="167" t="s">
        <v>22</v>
      </c>
      <c r="C26" s="172"/>
      <c r="D26" s="172"/>
      <c r="E26" s="173"/>
      <c r="F26" s="174"/>
      <c r="G26" s="172"/>
    </row>
    <row r="27" spans="2:7">
      <c r="B27" s="175" t="s">
        <v>23</v>
      </c>
      <c r="C27" s="175" t="s">
        <v>24</v>
      </c>
      <c r="D27" s="175" t="s">
        <v>25</v>
      </c>
      <c r="E27" s="182" t="s">
        <v>26</v>
      </c>
      <c r="F27" s="174" t="s">
        <v>11</v>
      </c>
      <c r="G27" s="175" t="s">
        <v>12</v>
      </c>
    </row>
    <row r="28" spans="2:7">
      <c r="B28" s="183" t="s">
        <v>44</v>
      </c>
      <c r="C28" s="173">
        <f>VLOOKUP(B28,Jornal,2,FALSE)</f>
        <v>108000</v>
      </c>
      <c r="D28" s="175">
        <v>1.73</v>
      </c>
      <c r="E28" s="184">
        <f>D28*C28</f>
        <v>186840</v>
      </c>
      <c r="F28" s="177">
        <v>1</v>
      </c>
      <c r="G28" s="173">
        <f>F28*E28</f>
        <v>186840</v>
      </c>
    </row>
    <row r="29" spans="2:7">
      <c r="B29" s="183" t="s">
        <v>43</v>
      </c>
      <c r="C29" s="173">
        <f>VLOOKUP(B29,Jornal,2,FALSE)</f>
        <v>96000</v>
      </c>
      <c r="D29" s="175">
        <v>1.73</v>
      </c>
      <c r="E29" s="184">
        <f>D29*C29</f>
        <v>166080</v>
      </c>
      <c r="F29" s="177">
        <v>1</v>
      </c>
      <c r="G29" s="173">
        <f>F29*E29</f>
        <v>166080</v>
      </c>
    </row>
    <row r="30" spans="2:7">
      <c r="B30" s="183"/>
      <c r="C30" s="173"/>
      <c r="D30" s="172"/>
      <c r="E30" s="173"/>
      <c r="F30" s="177"/>
      <c r="G30" s="173"/>
    </row>
    <row r="31" spans="2:7">
      <c r="B31" s="169"/>
      <c r="C31" s="169"/>
      <c r="D31" s="169"/>
      <c r="E31" s="178"/>
      <c r="F31" s="171"/>
      <c r="G31" s="180">
        <f>SUM(G28:G30)</f>
        <v>352920</v>
      </c>
    </row>
    <row r="32" spans="2:7">
      <c r="B32" s="169"/>
      <c r="C32" s="169"/>
      <c r="D32" s="169"/>
      <c r="E32" s="178"/>
      <c r="F32" s="171"/>
      <c r="G32" s="169"/>
    </row>
    <row r="33" spans="2:7">
      <c r="B33" s="169"/>
      <c r="C33" s="169"/>
      <c r="D33" s="169"/>
      <c r="E33" s="243" t="s">
        <v>27</v>
      </c>
      <c r="F33" s="243"/>
      <c r="G33" s="187">
        <f>+G31+G25+G20+G14</f>
        <v>388212</v>
      </c>
    </row>
    <row r="34" spans="2:7">
      <c r="B34" s="168"/>
      <c r="C34" s="169"/>
      <c r="D34" s="185"/>
      <c r="E34" s="186"/>
      <c r="F34" s="171"/>
      <c r="G34" s="169"/>
    </row>
    <row r="35" spans="2:7">
      <c r="B35" s="188"/>
      <c r="C35" s="189"/>
      <c r="D35" s="190"/>
      <c r="E35" s="191"/>
      <c r="F35" s="192"/>
      <c r="G35" s="189"/>
    </row>
    <row r="37" spans="2:7" ht="34.15" customHeight="1">
      <c r="B37" s="239" t="s">
        <v>440</v>
      </c>
      <c r="C37" s="239"/>
      <c r="D37" s="239"/>
      <c r="E37" s="239"/>
      <c r="F37" s="239"/>
      <c r="G37" s="239"/>
    </row>
    <row r="38" spans="2:7" ht="34.15" customHeight="1">
      <c r="B38" s="239" t="s">
        <v>441</v>
      </c>
      <c r="C38" s="239"/>
      <c r="D38" s="239"/>
      <c r="E38" s="239"/>
      <c r="F38" s="239"/>
      <c r="G38" s="239"/>
    </row>
    <row r="39" spans="2:7">
      <c r="B39" s="245"/>
      <c r="C39" s="245"/>
      <c r="D39" s="245"/>
      <c r="E39" s="245"/>
      <c r="F39" s="245"/>
      <c r="G39" s="245"/>
    </row>
    <row r="40" spans="2:7">
      <c r="B40" s="239" t="s">
        <v>4</v>
      </c>
      <c r="C40" s="239"/>
      <c r="D40" s="239"/>
      <c r="E40" s="239"/>
      <c r="F40" s="239"/>
      <c r="G40" s="239"/>
    </row>
    <row r="41" spans="2:7">
      <c r="B41" s="244"/>
      <c r="C41" s="244"/>
      <c r="D41" s="245"/>
      <c r="E41" s="245"/>
      <c r="F41" s="245"/>
      <c r="G41" s="245"/>
    </row>
    <row r="42" spans="2:7" ht="27" customHeight="1">
      <c r="B42" s="166" t="s">
        <v>5</v>
      </c>
      <c r="C42" s="240" t="s">
        <v>505</v>
      </c>
      <c r="D42" s="240"/>
      <c r="E42" s="240"/>
      <c r="F42" s="240"/>
      <c r="G42" s="240"/>
    </row>
    <row r="43" spans="2:7">
      <c r="B43" s="164" t="s">
        <v>7</v>
      </c>
      <c r="C43" s="248" t="s">
        <v>6</v>
      </c>
      <c r="D43" s="249"/>
      <c r="E43" s="249"/>
      <c r="F43" s="164" t="s">
        <v>8</v>
      </c>
      <c r="G43" s="164" t="s">
        <v>445</v>
      </c>
    </row>
    <row r="44" spans="2:7" ht="55.15" customHeight="1">
      <c r="B44" s="214" t="s">
        <v>447</v>
      </c>
      <c r="C44" s="250" t="s">
        <v>504</v>
      </c>
      <c r="D44" s="251"/>
      <c r="E44" s="251"/>
      <c r="F44" s="212" t="s">
        <v>37</v>
      </c>
      <c r="G44" s="213">
        <f>G70</f>
        <v>21907.22</v>
      </c>
    </row>
    <row r="45" spans="2:7">
      <c r="B45" s="168"/>
      <c r="C45" s="169"/>
      <c r="D45" s="168"/>
      <c r="E45" s="170"/>
      <c r="F45" s="171"/>
      <c r="G45" s="169"/>
    </row>
    <row r="46" spans="2:7">
      <c r="B46" s="167" t="s">
        <v>9</v>
      </c>
      <c r="C46" s="172"/>
      <c r="D46" s="172"/>
      <c r="E46" s="173"/>
      <c r="F46" s="174"/>
      <c r="G46" s="172"/>
    </row>
    <row r="47" spans="2:7">
      <c r="B47" s="241" t="s">
        <v>0</v>
      </c>
      <c r="C47" s="241"/>
      <c r="D47" s="175" t="s">
        <v>1</v>
      </c>
      <c r="E47" s="176" t="s">
        <v>10</v>
      </c>
      <c r="F47" s="174" t="s">
        <v>11</v>
      </c>
      <c r="G47" s="175" t="s">
        <v>12</v>
      </c>
    </row>
    <row r="48" spans="2:7">
      <c r="B48" s="242" t="s">
        <v>62</v>
      </c>
      <c r="C48" s="242"/>
      <c r="D48" s="175" t="s">
        <v>13</v>
      </c>
      <c r="E48" s="173">
        <f>G68*0.1</f>
        <v>1079.5200000000002</v>
      </c>
      <c r="F48" s="177">
        <v>1</v>
      </c>
      <c r="G48" s="173">
        <f>F48*E48</f>
        <v>1079.5200000000002</v>
      </c>
    </row>
    <row r="49" spans="2:7">
      <c r="B49" s="242" t="s">
        <v>507</v>
      </c>
      <c r="C49" s="242"/>
      <c r="D49" s="175" t="s">
        <v>452</v>
      </c>
      <c r="E49" s="173">
        <v>10500</v>
      </c>
      <c r="F49" s="177">
        <v>0.08</v>
      </c>
      <c r="G49" s="173">
        <f>F49*E49</f>
        <v>840</v>
      </c>
    </row>
    <row r="50" spans="2:7">
      <c r="B50" s="169"/>
      <c r="C50" s="169"/>
      <c r="D50" s="169"/>
      <c r="E50" s="178"/>
      <c r="F50" s="171"/>
      <c r="G50" s="179">
        <f>SUM(G48:G49)</f>
        <v>1919.5200000000002</v>
      </c>
    </row>
    <row r="51" spans="2:7">
      <c r="B51" s="167" t="s">
        <v>14</v>
      </c>
      <c r="C51" s="172"/>
      <c r="D51" s="172"/>
      <c r="E51" s="173"/>
      <c r="F51" s="174"/>
      <c r="G51" s="172"/>
    </row>
    <row r="52" spans="2:7">
      <c r="B52" s="241" t="s">
        <v>0</v>
      </c>
      <c r="C52" s="241"/>
      <c r="D52" s="175" t="s">
        <v>1</v>
      </c>
      <c r="E52" s="176" t="s">
        <v>10</v>
      </c>
      <c r="F52" s="174" t="s">
        <v>15</v>
      </c>
      <c r="G52" s="175" t="s">
        <v>12</v>
      </c>
    </row>
    <row r="53" spans="2:7">
      <c r="B53" s="242" t="s">
        <v>118</v>
      </c>
      <c r="C53" s="242"/>
      <c r="D53" s="175" t="str">
        <f>IF(B53="","",VLOOKUP(B53,mat,2,FALSE))</f>
        <v>gl</v>
      </c>
      <c r="E53" s="193">
        <f>IF(B53="","0",VLOOKUP(B53,mat,3,FALSE))</f>
        <v>89900</v>
      </c>
      <c r="F53" s="177">
        <f>1/10</f>
        <v>0.1</v>
      </c>
      <c r="G53" s="180">
        <f>F53*E53</f>
        <v>8990</v>
      </c>
    </row>
    <row r="54" spans="2:7">
      <c r="B54" s="242"/>
      <c r="C54" s="242"/>
      <c r="D54" s="175"/>
      <c r="E54" s="193"/>
      <c r="F54" s="177"/>
      <c r="G54" s="180">
        <f t="shared" ref="G54" si="1">F54*E54</f>
        <v>0</v>
      </c>
    </row>
    <row r="55" spans="2:7">
      <c r="B55" s="242"/>
      <c r="C55" s="242"/>
      <c r="D55" s="175"/>
      <c r="E55" s="193"/>
      <c r="F55" s="177"/>
      <c r="G55" s="180">
        <f t="shared" ref="G55:G56" si="2">F55*E55</f>
        <v>0</v>
      </c>
    </row>
    <row r="56" spans="2:7">
      <c r="B56" s="241"/>
      <c r="C56" s="241"/>
      <c r="D56" s="175" t="str">
        <f>IF(B56="","",VLOOKUP(B56,mat,2,FALSE))</f>
        <v/>
      </c>
      <c r="E56" s="193" t="str">
        <f>IF(B56="","0",VLOOKUP(B56,mat,3,FALSE))</f>
        <v>0</v>
      </c>
      <c r="F56" s="177"/>
      <c r="G56" s="180">
        <f t="shared" si="2"/>
        <v>0</v>
      </c>
    </row>
    <row r="57" spans="2:7">
      <c r="B57" s="169"/>
      <c r="C57" s="169"/>
      <c r="D57" s="169"/>
      <c r="E57" s="178"/>
      <c r="F57" s="171"/>
      <c r="G57" s="179">
        <f>SUM(G53:G56)</f>
        <v>8990</v>
      </c>
    </row>
    <row r="58" spans="2:7">
      <c r="B58" s="167" t="s">
        <v>16</v>
      </c>
      <c r="C58" s="172"/>
      <c r="D58" s="172"/>
      <c r="E58" s="173"/>
      <c r="F58" s="174"/>
      <c r="G58" s="172"/>
    </row>
    <row r="59" spans="2:7" ht="14.25">
      <c r="B59" s="175" t="s">
        <v>17</v>
      </c>
      <c r="C59" s="175" t="s">
        <v>18</v>
      </c>
      <c r="D59" s="175" t="s">
        <v>19</v>
      </c>
      <c r="E59" s="176" t="s">
        <v>444</v>
      </c>
      <c r="F59" s="174" t="s">
        <v>20</v>
      </c>
      <c r="G59" s="175" t="s">
        <v>12</v>
      </c>
    </row>
    <row r="60" spans="2:7">
      <c r="B60" s="172" t="s">
        <v>21</v>
      </c>
      <c r="C60" s="175">
        <v>1.0000000000000001E-5</v>
      </c>
      <c r="D60" s="175">
        <v>1</v>
      </c>
      <c r="E60" s="181">
        <v>4500</v>
      </c>
      <c r="F60" s="177">
        <f>C60*D60*E60</f>
        <v>4.5000000000000005E-2</v>
      </c>
      <c r="G60" s="173">
        <f>F60*E60</f>
        <v>202.50000000000003</v>
      </c>
    </row>
    <row r="61" spans="2:7">
      <c r="B61" s="172"/>
      <c r="C61" s="172"/>
      <c r="D61" s="172"/>
      <c r="E61" s="173"/>
      <c r="F61" s="174"/>
      <c r="G61" s="172"/>
    </row>
    <row r="62" spans="2:7">
      <c r="B62" s="169"/>
      <c r="C62" s="169"/>
      <c r="D62" s="169"/>
      <c r="E62" s="178"/>
      <c r="F62" s="171"/>
      <c r="G62" s="179">
        <f>SUM(G60:G61)</f>
        <v>202.50000000000003</v>
      </c>
    </row>
    <row r="63" spans="2:7">
      <c r="B63" s="167" t="s">
        <v>22</v>
      </c>
      <c r="C63" s="172"/>
      <c r="D63" s="172"/>
      <c r="E63" s="173"/>
      <c r="F63" s="174"/>
      <c r="G63" s="172"/>
    </row>
    <row r="64" spans="2:7">
      <c r="B64" s="175" t="s">
        <v>23</v>
      </c>
      <c r="C64" s="175" t="s">
        <v>24</v>
      </c>
      <c r="D64" s="175" t="s">
        <v>25</v>
      </c>
      <c r="E64" s="182" t="s">
        <v>26</v>
      </c>
      <c r="F64" s="174" t="s">
        <v>11</v>
      </c>
      <c r="G64" s="175" t="s">
        <v>12</v>
      </c>
    </row>
    <row r="65" spans="2:7">
      <c r="B65" s="183" t="s">
        <v>47</v>
      </c>
      <c r="C65" s="173">
        <f>VLOOKUP(B65,Jornal,2,FALSE)</f>
        <v>156000</v>
      </c>
      <c r="D65" s="175">
        <v>1.73</v>
      </c>
      <c r="E65" s="184">
        <f>D65*C65</f>
        <v>269880</v>
      </c>
      <c r="F65" s="177">
        <v>0.04</v>
      </c>
      <c r="G65" s="173">
        <f>F65*E65</f>
        <v>10795.2</v>
      </c>
    </row>
    <row r="66" spans="2:7">
      <c r="B66" s="183"/>
      <c r="C66" s="173"/>
      <c r="D66" s="175"/>
      <c r="E66" s="184"/>
      <c r="F66" s="177"/>
      <c r="G66" s="173">
        <f>F66*E66</f>
        <v>0</v>
      </c>
    </row>
    <row r="67" spans="2:7">
      <c r="B67" s="183"/>
      <c r="C67" s="173"/>
      <c r="D67" s="172"/>
      <c r="E67" s="173"/>
      <c r="F67" s="177"/>
      <c r="G67" s="173"/>
    </row>
    <row r="68" spans="2:7">
      <c r="B68" s="169"/>
      <c r="C68" s="169"/>
      <c r="D68" s="169"/>
      <c r="E68" s="178"/>
      <c r="F68" s="171"/>
      <c r="G68" s="180">
        <f>SUM(G65:G67)</f>
        <v>10795.2</v>
      </c>
    </row>
    <row r="69" spans="2:7">
      <c r="B69" s="169"/>
      <c r="C69" s="169"/>
      <c r="D69" s="169"/>
      <c r="E69" s="178"/>
      <c r="F69" s="171"/>
      <c r="G69" s="169"/>
    </row>
    <row r="70" spans="2:7">
      <c r="B70" s="169"/>
      <c r="C70" s="169"/>
      <c r="D70" s="169"/>
      <c r="E70" s="243" t="s">
        <v>27</v>
      </c>
      <c r="F70" s="243"/>
      <c r="G70" s="187">
        <f>+G68+G62+G57+G50</f>
        <v>21907.22</v>
      </c>
    </row>
    <row r="72" spans="2:7">
      <c r="B72" s="188"/>
      <c r="C72" s="189"/>
      <c r="D72" s="190"/>
      <c r="E72" s="191"/>
      <c r="F72" s="192"/>
      <c r="G72" s="189"/>
    </row>
    <row r="74" spans="2:7" ht="34.15" customHeight="1">
      <c r="B74" s="239" t="s">
        <v>440</v>
      </c>
      <c r="C74" s="239"/>
      <c r="D74" s="239"/>
      <c r="E74" s="239"/>
      <c r="F74" s="239"/>
      <c r="G74" s="239"/>
    </row>
    <row r="75" spans="2:7" ht="34.15" customHeight="1">
      <c r="B75" s="239" t="s">
        <v>441</v>
      </c>
      <c r="C75" s="239"/>
      <c r="D75" s="239"/>
      <c r="E75" s="239"/>
      <c r="F75" s="239"/>
      <c r="G75" s="239"/>
    </row>
    <row r="76" spans="2:7">
      <c r="B76" s="245"/>
      <c r="C76" s="245"/>
      <c r="D76" s="245"/>
      <c r="E76" s="245"/>
      <c r="F76" s="245"/>
      <c r="G76" s="245"/>
    </row>
    <row r="77" spans="2:7">
      <c r="B77" s="239" t="s">
        <v>4</v>
      </c>
      <c r="C77" s="239"/>
      <c r="D77" s="239"/>
      <c r="E77" s="239"/>
      <c r="F77" s="239"/>
      <c r="G77" s="239"/>
    </row>
    <row r="78" spans="2:7">
      <c r="B78" s="244"/>
      <c r="C78" s="244"/>
      <c r="D78" s="245"/>
      <c r="E78" s="245"/>
      <c r="F78" s="245"/>
      <c r="G78" s="245"/>
    </row>
    <row r="79" spans="2:7" ht="27" customHeight="1">
      <c r="B79" s="166" t="s">
        <v>5</v>
      </c>
      <c r="C79" s="240" t="s">
        <v>505</v>
      </c>
      <c r="D79" s="240"/>
      <c r="E79" s="240"/>
      <c r="F79" s="240"/>
      <c r="G79" s="240"/>
    </row>
    <row r="80" spans="2:7">
      <c r="B80" s="164" t="s">
        <v>7</v>
      </c>
      <c r="C80" s="248" t="s">
        <v>6</v>
      </c>
      <c r="D80" s="249"/>
      <c r="E80" s="249"/>
      <c r="F80" s="164" t="s">
        <v>8</v>
      </c>
      <c r="G80" s="164" t="s">
        <v>445</v>
      </c>
    </row>
    <row r="81" spans="2:7" ht="55.15" customHeight="1">
      <c r="B81" s="214" t="s">
        <v>448</v>
      </c>
      <c r="C81" s="250" t="s">
        <v>499</v>
      </c>
      <c r="D81" s="251"/>
      <c r="E81" s="251"/>
      <c r="F81" s="212" t="s">
        <v>37</v>
      </c>
      <c r="G81" s="213">
        <f>G108</f>
        <v>28964.233333333334</v>
      </c>
    </row>
    <row r="82" spans="2:7">
      <c r="B82" s="168"/>
      <c r="C82" s="169"/>
      <c r="D82" s="168"/>
      <c r="E82" s="170"/>
      <c r="F82" s="171"/>
      <c r="G82" s="169"/>
    </row>
    <row r="83" spans="2:7">
      <c r="B83" s="167" t="s">
        <v>9</v>
      </c>
      <c r="C83" s="172"/>
      <c r="D83" s="172"/>
      <c r="E83" s="173"/>
      <c r="F83" s="174"/>
      <c r="G83" s="172"/>
    </row>
    <row r="84" spans="2:7">
      <c r="B84" s="241" t="s">
        <v>0</v>
      </c>
      <c r="C84" s="241"/>
      <c r="D84" s="175" t="s">
        <v>1</v>
      </c>
      <c r="E84" s="176" t="s">
        <v>10</v>
      </c>
      <c r="F84" s="174" t="s">
        <v>11</v>
      </c>
      <c r="G84" s="175" t="s">
        <v>12</v>
      </c>
    </row>
    <row r="85" spans="2:7">
      <c r="B85" s="242" t="s">
        <v>62</v>
      </c>
      <c r="C85" s="242"/>
      <c r="D85" s="175" t="s">
        <v>13</v>
      </c>
      <c r="E85" s="173">
        <f>G106*0.1</f>
        <v>1349.4</v>
      </c>
      <c r="F85" s="177">
        <v>1</v>
      </c>
      <c r="G85" s="173">
        <f>F85*E85</f>
        <v>1349.4</v>
      </c>
    </row>
    <row r="86" spans="2:7">
      <c r="B86" s="242" t="s">
        <v>453</v>
      </c>
      <c r="C86" s="242"/>
      <c r="D86" s="175" t="s">
        <v>452</v>
      </c>
      <c r="E86" s="173">
        <f>1800*2+800*2+1500*2</f>
        <v>8200</v>
      </c>
      <c r="F86" s="177">
        <v>0.06</v>
      </c>
      <c r="G86" s="173">
        <f>F86*E86</f>
        <v>492</v>
      </c>
    </row>
    <row r="87" spans="2:7">
      <c r="B87" s="169"/>
      <c r="C87" s="169"/>
      <c r="D87" s="169"/>
      <c r="E87" s="178"/>
      <c r="F87" s="171"/>
      <c r="G87" s="179">
        <f>SUM(G85:G86)</f>
        <v>1841.4</v>
      </c>
    </row>
    <row r="88" spans="2:7">
      <c r="B88" s="167" t="s">
        <v>14</v>
      </c>
      <c r="C88" s="172"/>
      <c r="D88" s="172"/>
      <c r="E88" s="173"/>
      <c r="F88" s="174"/>
      <c r="G88" s="172"/>
    </row>
    <row r="89" spans="2:7">
      <c r="B89" s="241" t="s">
        <v>0</v>
      </c>
      <c r="C89" s="241"/>
      <c r="D89" s="175" t="s">
        <v>1</v>
      </c>
      <c r="E89" s="176" t="s">
        <v>10</v>
      </c>
      <c r="F89" s="174" t="s">
        <v>15</v>
      </c>
      <c r="G89" s="175" t="s">
        <v>12</v>
      </c>
    </row>
    <row r="90" spans="2:7">
      <c r="B90" s="242" t="s">
        <v>508</v>
      </c>
      <c r="C90" s="242"/>
      <c r="D90" s="175" t="str">
        <f t="shared" ref="D90:D94" si="3">IF(B90="","",VLOOKUP(B90,mat,2,FALSE))</f>
        <v>gl</v>
      </c>
      <c r="E90" s="193">
        <f t="shared" ref="E90:E94" si="4">IF(B90="","0",VLOOKUP(B90,mat,3,FALSE))</f>
        <v>117100</v>
      </c>
      <c r="F90" s="177">
        <f>1/12</f>
        <v>8.3333333333333329E-2</v>
      </c>
      <c r="G90" s="180">
        <f>F90*E90</f>
        <v>9758.3333333333321</v>
      </c>
    </row>
    <row r="91" spans="2:7">
      <c r="B91" s="242" t="s">
        <v>509</v>
      </c>
      <c r="C91" s="242"/>
      <c r="D91" s="175" t="str">
        <f t="shared" si="3"/>
        <v>lt</v>
      </c>
      <c r="E91" s="193">
        <f t="shared" si="4"/>
        <v>37200</v>
      </c>
      <c r="F91" s="177">
        <v>0.03</v>
      </c>
      <c r="G91" s="180">
        <f t="shared" ref="G91:G94" si="5">F91*E91</f>
        <v>1116</v>
      </c>
    </row>
    <row r="92" spans="2:7">
      <c r="B92" s="242" t="s">
        <v>71</v>
      </c>
      <c r="C92" s="242"/>
      <c r="D92" s="175" t="str">
        <f t="shared" si="3"/>
        <v>un</v>
      </c>
      <c r="E92" s="193">
        <f t="shared" si="4"/>
        <v>14650</v>
      </c>
      <c r="F92" s="177">
        <v>0.1</v>
      </c>
      <c r="G92" s="180">
        <f t="shared" si="5"/>
        <v>1465</v>
      </c>
    </row>
    <row r="93" spans="2:7">
      <c r="B93" s="242" t="s">
        <v>72</v>
      </c>
      <c r="C93" s="242"/>
      <c r="D93" s="175" t="str">
        <f t="shared" si="3"/>
        <v>un</v>
      </c>
      <c r="E93" s="193">
        <f t="shared" si="4"/>
        <v>10870</v>
      </c>
      <c r="F93" s="177">
        <v>0.1</v>
      </c>
      <c r="G93" s="180">
        <f t="shared" si="5"/>
        <v>1087</v>
      </c>
    </row>
    <row r="94" spans="2:7">
      <c r="B94" s="241"/>
      <c r="C94" s="241"/>
      <c r="D94" s="175" t="str">
        <f t="shared" si="3"/>
        <v/>
      </c>
      <c r="E94" s="193" t="str">
        <f t="shared" si="4"/>
        <v>0</v>
      </c>
      <c r="F94" s="177"/>
      <c r="G94" s="180">
        <f t="shared" si="5"/>
        <v>0</v>
      </c>
    </row>
    <row r="95" spans="2:7">
      <c r="B95" s="169"/>
      <c r="C95" s="169"/>
      <c r="D95" s="169"/>
      <c r="E95" s="178"/>
      <c r="F95" s="171"/>
      <c r="G95" s="179">
        <f>SUM(G90:G94)</f>
        <v>13426.333333333332</v>
      </c>
    </row>
    <row r="96" spans="2:7">
      <c r="B96" s="167" t="s">
        <v>16</v>
      </c>
      <c r="C96" s="172"/>
      <c r="D96" s="172"/>
      <c r="E96" s="173"/>
      <c r="F96" s="174"/>
      <c r="G96" s="172"/>
    </row>
    <row r="97" spans="2:7" ht="14.25">
      <c r="B97" s="175" t="s">
        <v>17</v>
      </c>
      <c r="C97" s="175" t="s">
        <v>18</v>
      </c>
      <c r="D97" s="175" t="s">
        <v>19</v>
      </c>
      <c r="E97" s="176" t="s">
        <v>444</v>
      </c>
      <c r="F97" s="174" t="s">
        <v>20</v>
      </c>
      <c r="G97" s="175" t="s">
        <v>12</v>
      </c>
    </row>
    <row r="98" spans="2:7">
      <c r="B98" s="172" t="s">
        <v>21</v>
      </c>
      <c r="C98" s="175">
        <v>1.0000000000000001E-5</v>
      </c>
      <c r="D98" s="175">
        <v>1</v>
      </c>
      <c r="E98" s="181">
        <v>4500</v>
      </c>
      <c r="F98" s="177">
        <f>C98*D98*E98</f>
        <v>4.5000000000000005E-2</v>
      </c>
      <c r="G98" s="173">
        <f>F98*E98</f>
        <v>202.50000000000003</v>
      </c>
    </row>
    <row r="99" spans="2:7">
      <c r="B99" s="172"/>
      <c r="C99" s="172"/>
      <c r="D99" s="172"/>
      <c r="E99" s="173"/>
      <c r="F99" s="174"/>
      <c r="G99" s="172"/>
    </row>
    <row r="100" spans="2:7">
      <c r="B100" s="169"/>
      <c r="C100" s="169"/>
      <c r="D100" s="169"/>
      <c r="E100" s="178"/>
      <c r="F100" s="171"/>
      <c r="G100" s="179">
        <f>SUM(G98:G99)</f>
        <v>202.50000000000003</v>
      </c>
    </row>
    <row r="101" spans="2:7">
      <c r="B101" s="167" t="s">
        <v>22</v>
      </c>
      <c r="C101" s="172"/>
      <c r="D101" s="172"/>
      <c r="E101" s="173"/>
      <c r="F101" s="174"/>
      <c r="G101" s="172"/>
    </row>
    <row r="102" spans="2:7">
      <c r="B102" s="175" t="s">
        <v>23</v>
      </c>
      <c r="C102" s="175" t="s">
        <v>24</v>
      </c>
      <c r="D102" s="175" t="s">
        <v>25</v>
      </c>
      <c r="E102" s="182" t="s">
        <v>26</v>
      </c>
      <c r="F102" s="174" t="s">
        <v>11</v>
      </c>
      <c r="G102" s="175" t="s">
        <v>12</v>
      </c>
    </row>
    <row r="103" spans="2:7">
      <c r="B103" s="183" t="s">
        <v>47</v>
      </c>
      <c r="C103" s="173">
        <f>VLOOKUP(B103,Jornal,2,FALSE)</f>
        <v>156000</v>
      </c>
      <c r="D103" s="175">
        <v>1.73</v>
      </c>
      <c r="E103" s="184">
        <f>D103*C103</f>
        <v>269880</v>
      </c>
      <c r="F103" s="177">
        <f>1/20</f>
        <v>0.05</v>
      </c>
      <c r="G103" s="173">
        <f>F103*E103</f>
        <v>13494</v>
      </c>
    </row>
    <row r="104" spans="2:7">
      <c r="B104" s="183"/>
      <c r="C104" s="173"/>
      <c r="D104" s="175"/>
      <c r="E104" s="184"/>
      <c r="F104" s="177"/>
      <c r="G104" s="173">
        <f>F104*E104</f>
        <v>0</v>
      </c>
    </row>
    <row r="105" spans="2:7">
      <c r="B105" s="183"/>
      <c r="C105" s="173"/>
      <c r="D105" s="172"/>
      <c r="E105" s="173"/>
      <c r="F105" s="177"/>
      <c r="G105" s="173"/>
    </row>
    <row r="106" spans="2:7">
      <c r="B106" s="169"/>
      <c r="C106" s="169"/>
      <c r="D106" s="169"/>
      <c r="E106" s="178"/>
      <c r="F106" s="171"/>
      <c r="G106" s="180">
        <f>SUM(G103:G105)</f>
        <v>13494</v>
      </c>
    </row>
    <row r="107" spans="2:7">
      <c r="B107" s="169"/>
      <c r="C107" s="169"/>
      <c r="D107" s="169"/>
      <c r="E107" s="178"/>
      <c r="F107" s="171"/>
      <c r="G107" s="169"/>
    </row>
    <row r="108" spans="2:7">
      <c r="B108" s="169"/>
      <c r="C108" s="169"/>
      <c r="D108" s="169"/>
      <c r="E108" s="243" t="s">
        <v>27</v>
      </c>
      <c r="F108" s="243"/>
      <c r="G108" s="187">
        <f>+G106+G100+G95+G87</f>
        <v>28964.233333333334</v>
      </c>
    </row>
    <row r="110" spans="2:7">
      <c r="B110" s="188"/>
      <c r="C110" s="189"/>
      <c r="D110" s="190"/>
      <c r="E110" s="191"/>
      <c r="F110" s="192"/>
      <c r="G110" s="189"/>
    </row>
    <row r="112" spans="2:7" ht="34.15" customHeight="1">
      <c r="B112" s="239" t="s">
        <v>440</v>
      </c>
      <c r="C112" s="239"/>
      <c r="D112" s="239"/>
      <c r="E112" s="239"/>
      <c r="F112" s="239"/>
      <c r="G112" s="239"/>
    </row>
    <row r="113" spans="2:7" ht="34.15" customHeight="1">
      <c r="B113" s="239" t="s">
        <v>441</v>
      </c>
      <c r="C113" s="239"/>
      <c r="D113" s="239"/>
      <c r="E113" s="239"/>
      <c r="F113" s="239"/>
      <c r="G113" s="239"/>
    </row>
    <row r="114" spans="2:7">
      <c r="B114" s="245"/>
      <c r="C114" s="245"/>
      <c r="D114" s="245"/>
      <c r="E114" s="245"/>
      <c r="F114" s="245"/>
      <c r="G114" s="245"/>
    </row>
    <row r="115" spans="2:7">
      <c r="B115" s="239" t="s">
        <v>4</v>
      </c>
      <c r="C115" s="239"/>
      <c r="D115" s="239"/>
      <c r="E115" s="239"/>
      <c r="F115" s="239"/>
      <c r="G115" s="239"/>
    </row>
    <row r="116" spans="2:7">
      <c r="B116" s="244"/>
      <c r="C116" s="244"/>
      <c r="D116" s="245"/>
      <c r="E116" s="245"/>
      <c r="F116" s="245"/>
      <c r="G116" s="245"/>
    </row>
    <row r="117" spans="2:7" ht="27" customHeight="1">
      <c r="B117" s="166" t="s">
        <v>5</v>
      </c>
      <c r="C117" s="240" t="s">
        <v>505</v>
      </c>
      <c r="D117" s="240"/>
      <c r="E117" s="240"/>
      <c r="F117" s="240"/>
      <c r="G117" s="240"/>
    </row>
    <row r="118" spans="2:7">
      <c r="B118" s="164" t="s">
        <v>7</v>
      </c>
      <c r="C118" s="248" t="s">
        <v>6</v>
      </c>
      <c r="D118" s="249"/>
      <c r="E118" s="249"/>
      <c r="F118" s="164" t="s">
        <v>8</v>
      </c>
      <c r="G118" s="164" t="s">
        <v>445</v>
      </c>
    </row>
    <row r="119" spans="2:7" ht="55.15" customHeight="1">
      <c r="B119" s="214" t="s">
        <v>449</v>
      </c>
      <c r="C119" s="250" t="s">
        <v>475</v>
      </c>
      <c r="D119" s="251"/>
      <c r="E119" s="251"/>
      <c r="F119" s="212" t="s">
        <v>37</v>
      </c>
      <c r="G119" s="213">
        <f>G146</f>
        <v>97107.5</v>
      </c>
    </row>
    <row r="120" spans="2:7">
      <c r="B120" s="168"/>
      <c r="C120" s="169"/>
      <c r="D120" s="168"/>
      <c r="E120" s="170"/>
      <c r="F120" s="171"/>
      <c r="G120" s="169"/>
    </row>
    <row r="121" spans="2:7">
      <c r="B121" s="167" t="s">
        <v>9</v>
      </c>
      <c r="C121" s="172"/>
      <c r="D121" s="172"/>
      <c r="E121" s="173"/>
      <c r="F121" s="174"/>
      <c r="G121" s="172"/>
    </row>
    <row r="122" spans="2:7">
      <c r="B122" s="241" t="s">
        <v>0</v>
      </c>
      <c r="C122" s="241"/>
      <c r="D122" s="175" t="s">
        <v>1</v>
      </c>
      <c r="E122" s="176" t="s">
        <v>10</v>
      </c>
      <c r="F122" s="174" t="s">
        <v>11</v>
      </c>
      <c r="G122" s="175" t="s">
        <v>12</v>
      </c>
    </row>
    <row r="123" spans="2:7">
      <c r="B123" s="242" t="s">
        <v>62</v>
      </c>
      <c r="C123" s="242"/>
      <c r="D123" s="175" t="s">
        <v>13</v>
      </c>
      <c r="E123" s="173">
        <f>G144*0.1</f>
        <v>3114</v>
      </c>
      <c r="F123" s="177">
        <v>1</v>
      </c>
      <c r="G123" s="173">
        <f>F123*E123</f>
        <v>3114</v>
      </c>
    </row>
    <row r="124" spans="2:7">
      <c r="B124" s="242" t="s">
        <v>453</v>
      </c>
      <c r="C124" s="242"/>
      <c r="D124" s="175" t="s">
        <v>452</v>
      </c>
      <c r="E124" s="173">
        <f>1800*2+800*2+1500*2</f>
        <v>8200</v>
      </c>
      <c r="F124" s="177">
        <v>0.08</v>
      </c>
      <c r="G124" s="173">
        <f>F124*E124</f>
        <v>656</v>
      </c>
    </row>
    <row r="125" spans="2:7">
      <c r="B125" s="169"/>
      <c r="C125" s="169"/>
      <c r="D125" s="169"/>
      <c r="E125" s="178"/>
      <c r="F125" s="171"/>
      <c r="G125" s="179">
        <f>SUM(G123:G124)</f>
        <v>3770</v>
      </c>
    </row>
    <row r="126" spans="2:7">
      <c r="B126" s="167" t="s">
        <v>14</v>
      </c>
      <c r="C126" s="172"/>
      <c r="D126" s="172"/>
      <c r="E126" s="173"/>
      <c r="F126" s="174"/>
      <c r="G126" s="172"/>
    </row>
    <row r="127" spans="2:7">
      <c r="B127" s="241" t="s">
        <v>0</v>
      </c>
      <c r="C127" s="241"/>
      <c r="D127" s="175" t="s">
        <v>1</v>
      </c>
      <c r="E127" s="176" t="s">
        <v>10</v>
      </c>
      <c r="F127" s="174" t="s">
        <v>15</v>
      </c>
      <c r="G127" s="175" t="s">
        <v>12</v>
      </c>
    </row>
    <row r="128" spans="2:7">
      <c r="B128" s="242" t="s">
        <v>190</v>
      </c>
      <c r="C128" s="242"/>
      <c r="D128" s="175" t="str">
        <f>IF(B128="","",VLOOKUP(B128,mat,2,FALSE))</f>
        <v>ml</v>
      </c>
      <c r="E128" s="193">
        <f>IF(B128="","0",VLOOKUP(B128,mat,3,FALSE))</f>
        <v>57400</v>
      </c>
      <c r="F128" s="177">
        <v>1</v>
      </c>
      <c r="G128" s="180">
        <f>F128*E128</f>
        <v>57400</v>
      </c>
    </row>
    <row r="129" spans="2:7">
      <c r="B129" s="242" t="s">
        <v>209</v>
      </c>
      <c r="C129" s="242"/>
      <c r="D129" s="175" t="str">
        <f>IF(B129="","",VLOOKUP(B129,mat,2,FALSE))</f>
        <v>un</v>
      </c>
      <c r="E129" s="193">
        <f>IF(B129="","0",VLOOKUP(B129,mat,3,FALSE))</f>
        <v>220</v>
      </c>
      <c r="F129" s="177">
        <v>8</v>
      </c>
      <c r="G129" s="180">
        <f>F129*E129</f>
        <v>1760</v>
      </c>
    </row>
    <row r="130" spans="2:7">
      <c r="B130" s="242"/>
      <c r="C130" s="242"/>
      <c r="D130" s="175"/>
      <c r="E130" s="193"/>
      <c r="F130" s="177"/>
      <c r="G130" s="180">
        <f t="shared" ref="G130:G132" si="6">F130*E130</f>
        <v>0</v>
      </c>
    </row>
    <row r="131" spans="2:7">
      <c r="B131" s="242"/>
      <c r="C131" s="242"/>
      <c r="D131" s="175" t="str">
        <f>IF(B131="","",VLOOKUP(B131,mat,2,FALSE))</f>
        <v/>
      </c>
      <c r="E131" s="193" t="str">
        <f>IF(B131="","0",VLOOKUP(B131,mat,3,FALSE))</f>
        <v>0</v>
      </c>
      <c r="F131" s="177"/>
      <c r="G131" s="180">
        <f t="shared" si="6"/>
        <v>0</v>
      </c>
    </row>
    <row r="132" spans="2:7">
      <c r="B132" s="242"/>
      <c r="C132" s="242"/>
      <c r="D132" s="175" t="str">
        <f>IF(B132="","",VLOOKUP(B132,mat,2,FALSE))</f>
        <v/>
      </c>
      <c r="E132" s="193" t="str">
        <f>IF(B132="","0",VLOOKUP(B132,mat,3,FALSE))</f>
        <v>0</v>
      </c>
      <c r="F132" s="177"/>
      <c r="G132" s="180">
        <f t="shared" si="6"/>
        <v>0</v>
      </c>
    </row>
    <row r="133" spans="2:7">
      <c r="B133" s="169"/>
      <c r="C133" s="169"/>
      <c r="D133" s="169"/>
      <c r="E133" s="178"/>
      <c r="F133" s="171"/>
      <c r="G133" s="179">
        <f>SUM(G128:G132)</f>
        <v>59160</v>
      </c>
    </row>
    <row r="134" spans="2:7">
      <c r="B134" s="167" t="s">
        <v>16</v>
      </c>
      <c r="C134" s="172"/>
      <c r="D134" s="172"/>
      <c r="E134" s="173"/>
      <c r="F134" s="174"/>
      <c r="G134" s="172"/>
    </row>
    <row r="135" spans="2:7" ht="14.25">
      <c r="B135" s="175" t="s">
        <v>17</v>
      </c>
      <c r="C135" s="175" t="s">
        <v>18</v>
      </c>
      <c r="D135" s="175" t="s">
        <v>19</v>
      </c>
      <c r="E135" s="176" t="s">
        <v>444</v>
      </c>
      <c r="F135" s="174" t="s">
        <v>20</v>
      </c>
      <c r="G135" s="175" t="s">
        <v>12</v>
      </c>
    </row>
    <row r="136" spans="2:7">
      <c r="B136" s="172" t="s">
        <v>21</v>
      </c>
      <c r="C136" s="175">
        <v>1.4999999999999999E-4</v>
      </c>
      <c r="D136" s="175">
        <v>1</v>
      </c>
      <c r="E136" s="181">
        <v>4500</v>
      </c>
      <c r="F136" s="177">
        <f>C136*D136*E136</f>
        <v>0.67499999999999993</v>
      </c>
      <c r="G136" s="173">
        <f>F136*E136</f>
        <v>3037.4999999999995</v>
      </c>
    </row>
    <row r="137" spans="2:7">
      <c r="B137" s="172"/>
      <c r="C137" s="172"/>
      <c r="D137" s="172"/>
      <c r="E137" s="173"/>
      <c r="F137" s="174"/>
      <c r="G137" s="172"/>
    </row>
    <row r="138" spans="2:7">
      <c r="B138" s="169"/>
      <c r="C138" s="169"/>
      <c r="D138" s="169"/>
      <c r="E138" s="178"/>
      <c r="F138" s="171"/>
      <c r="G138" s="179">
        <f>SUM(G136:G137)</f>
        <v>3037.4999999999995</v>
      </c>
    </row>
    <row r="139" spans="2:7">
      <c r="B139" s="167" t="s">
        <v>22</v>
      </c>
      <c r="C139" s="172"/>
      <c r="D139" s="172"/>
      <c r="E139" s="173"/>
      <c r="F139" s="174"/>
      <c r="G139" s="172"/>
    </row>
    <row r="140" spans="2:7">
      <c r="B140" s="175" t="s">
        <v>23</v>
      </c>
      <c r="C140" s="175" t="s">
        <v>24</v>
      </c>
      <c r="D140" s="175" t="s">
        <v>25</v>
      </c>
      <c r="E140" s="182" t="s">
        <v>26</v>
      </c>
      <c r="F140" s="174" t="s">
        <v>11</v>
      </c>
      <c r="G140" s="175" t="s">
        <v>12</v>
      </c>
    </row>
    <row r="141" spans="2:7">
      <c r="B141" s="183" t="s">
        <v>48</v>
      </c>
      <c r="C141" s="173">
        <f>VLOOKUP(B141,Jornal,2,FALSE)</f>
        <v>216000</v>
      </c>
      <c r="D141" s="175">
        <v>1.73</v>
      </c>
      <c r="E141" s="184">
        <f>D141*C141</f>
        <v>373680</v>
      </c>
      <c r="F141" s="177">
        <v>8.3333333333333329E-2</v>
      </c>
      <c r="G141" s="173">
        <f>F141*E141</f>
        <v>31140</v>
      </c>
    </row>
    <row r="142" spans="2:7">
      <c r="B142" s="183"/>
      <c r="C142" s="173"/>
      <c r="D142" s="175"/>
      <c r="E142" s="184"/>
      <c r="F142" s="177"/>
      <c r="G142" s="173">
        <f>F142*E142</f>
        <v>0</v>
      </c>
    </row>
    <row r="143" spans="2:7">
      <c r="B143" s="183"/>
      <c r="C143" s="173"/>
      <c r="D143" s="172"/>
      <c r="E143" s="173"/>
      <c r="F143" s="177"/>
      <c r="G143" s="173"/>
    </row>
    <row r="144" spans="2:7">
      <c r="B144" s="169"/>
      <c r="C144" s="169"/>
      <c r="D144" s="169"/>
      <c r="E144" s="178"/>
      <c r="F144" s="171"/>
      <c r="G144" s="180">
        <f>SUM(G141:G143)</f>
        <v>31140</v>
      </c>
    </row>
    <row r="145" spans="2:7">
      <c r="B145" s="169"/>
      <c r="C145" s="169"/>
      <c r="D145" s="169"/>
      <c r="E145" s="178"/>
      <c r="F145" s="171"/>
      <c r="G145" s="169"/>
    </row>
    <row r="146" spans="2:7">
      <c r="B146" s="169"/>
      <c r="C146" s="169"/>
      <c r="D146" s="169"/>
      <c r="E146" s="243" t="s">
        <v>27</v>
      </c>
      <c r="F146" s="243"/>
      <c r="G146" s="187">
        <f>+G144+G138+G133+G125</f>
        <v>97107.5</v>
      </c>
    </row>
    <row r="148" spans="2:7">
      <c r="B148" s="188"/>
      <c r="C148" s="189"/>
      <c r="D148" s="190"/>
      <c r="E148" s="191"/>
      <c r="F148" s="192"/>
      <c r="G148" s="189"/>
    </row>
    <row r="150" spans="2:7" ht="34.15" customHeight="1">
      <c r="B150" s="239" t="s">
        <v>440</v>
      </c>
      <c r="C150" s="239"/>
      <c r="D150" s="239"/>
      <c r="E150" s="239"/>
      <c r="F150" s="239"/>
      <c r="G150" s="239"/>
    </row>
    <row r="151" spans="2:7" ht="34.15" customHeight="1">
      <c r="B151" s="239" t="s">
        <v>441</v>
      </c>
      <c r="C151" s="239"/>
      <c r="D151" s="239"/>
      <c r="E151" s="239"/>
      <c r="F151" s="239"/>
      <c r="G151" s="239"/>
    </row>
    <row r="152" spans="2:7">
      <c r="B152" s="245"/>
      <c r="C152" s="245"/>
      <c r="D152" s="245"/>
      <c r="E152" s="245"/>
      <c r="F152" s="245"/>
      <c r="G152" s="245"/>
    </row>
    <row r="153" spans="2:7">
      <c r="B153" s="239" t="s">
        <v>4</v>
      </c>
      <c r="C153" s="239"/>
      <c r="D153" s="239"/>
      <c r="E153" s="239"/>
      <c r="F153" s="239"/>
      <c r="G153" s="239"/>
    </row>
    <row r="154" spans="2:7">
      <c r="B154" s="244"/>
      <c r="C154" s="244"/>
      <c r="D154" s="245"/>
      <c r="E154" s="245"/>
      <c r="F154" s="245"/>
      <c r="G154" s="245"/>
    </row>
    <row r="155" spans="2:7" ht="27" customHeight="1">
      <c r="B155" s="166" t="s">
        <v>5</v>
      </c>
      <c r="C155" s="240" t="s">
        <v>505</v>
      </c>
      <c r="D155" s="240"/>
      <c r="E155" s="240"/>
      <c r="F155" s="240"/>
      <c r="G155" s="240"/>
    </row>
    <row r="156" spans="2:7">
      <c r="B156" s="164" t="s">
        <v>7</v>
      </c>
      <c r="C156" s="248" t="s">
        <v>6</v>
      </c>
      <c r="D156" s="249"/>
      <c r="E156" s="249"/>
      <c r="F156" s="164" t="s">
        <v>8</v>
      </c>
      <c r="G156" s="164" t="s">
        <v>445</v>
      </c>
    </row>
    <row r="157" spans="2:7" ht="55.15" customHeight="1">
      <c r="B157" s="214" t="s">
        <v>450</v>
      </c>
      <c r="C157" s="250" t="s">
        <v>478</v>
      </c>
      <c r="D157" s="251"/>
      <c r="E157" s="251"/>
      <c r="F157" s="212" t="s">
        <v>38</v>
      </c>
      <c r="G157" s="213">
        <f>G184</f>
        <v>114092.76666666666</v>
      </c>
    </row>
    <row r="158" spans="2:7">
      <c r="B158" s="168"/>
      <c r="C158" s="169"/>
      <c r="D158" s="168"/>
      <c r="E158" s="170"/>
      <c r="F158" s="171"/>
      <c r="G158" s="169"/>
    </row>
    <row r="159" spans="2:7">
      <c r="B159" s="167" t="s">
        <v>9</v>
      </c>
      <c r="C159" s="172"/>
      <c r="D159" s="172"/>
      <c r="E159" s="173"/>
      <c r="F159" s="174"/>
      <c r="G159" s="172"/>
    </row>
    <row r="160" spans="2:7">
      <c r="B160" s="241" t="s">
        <v>0</v>
      </c>
      <c r="C160" s="241"/>
      <c r="D160" s="175" t="s">
        <v>1</v>
      </c>
      <c r="E160" s="176" t="s">
        <v>10</v>
      </c>
      <c r="F160" s="174" t="s">
        <v>11</v>
      </c>
      <c r="G160" s="175" t="s">
        <v>12</v>
      </c>
    </row>
    <row r="161" spans="2:7">
      <c r="B161" s="242" t="s">
        <v>62</v>
      </c>
      <c r="C161" s="242"/>
      <c r="D161" s="175" t="s">
        <v>13</v>
      </c>
      <c r="E161" s="173">
        <f>G182*0.1</f>
        <v>934.2</v>
      </c>
      <c r="F161" s="177">
        <v>1</v>
      </c>
      <c r="G161" s="173">
        <f>F161*E161</f>
        <v>934.2</v>
      </c>
    </row>
    <row r="162" spans="2:7">
      <c r="B162" s="242" t="s">
        <v>453</v>
      </c>
      <c r="C162" s="242"/>
      <c r="D162" s="175" t="s">
        <v>452</v>
      </c>
      <c r="E162" s="173">
        <f>1800*2+800*2+1500*2</f>
        <v>8200</v>
      </c>
      <c r="F162" s="177">
        <f>4*(1/20)</f>
        <v>0.2</v>
      </c>
      <c r="G162" s="173">
        <f>F162*E162</f>
        <v>1640</v>
      </c>
    </row>
    <row r="163" spans="2:7">
      <c r="B163" s="169"/>
      <c r="C163" s="169"/>
      <c r="D163" s="169"/>
      <c r="E163" s="178"/>
      <c r="F163" s="171"/>
      <c r="G163" s="179">
        <f>SUM(G161:G162)</f>
        <v>2574.1999999999998</v>
      </c>
    </row>
    <row r="164" spans="2:7">
      <c r="B164" s="167" t="s">
        <v>14</v>
      </c>
      <c r="C164" s="172"/>
      <c r="D164" s="172"/>
      <c r="E164" s="173"/>
      <c r="F164" s="174"/>
      <c r="G164" s="172"/>
    </row>
    <row r="165" spans="2:7">
      <c r="B165" s="241" t="s">
        <v>0</v>
      </c>
      <c r="C165" s="241"/>
      <c r="D165" s="175" t="s">
        <v>1</v>
      </c>
      <c r="E165" s="176" t="s">
        <v>10</v>
      </c>
      <c r="F165" s="174" t="s">
        <v>15</v>
      </c>
      <c r="G165" s="175" t="s">
        <v>12</v>
      </c>
    </row>
    <row r="166" spans="2:7">
      <c r="B166" s="242" t="s">
        <v>404</v>
      </c>
      <c r="C166" s="242"/>
      <c r="D166" s="175" t="str">
        <f>IF(B166="","",VLOOKUP(B166,mat,2,FALSE))</f>
        <v>un</v>
      </c>
      <c r="E166" s="193">
        <f>IF(B166="","0",VLOOKUP(B166,mat,3,FALSE))</f>
        <v>6950</v>
      </c>
      <c r="F166" s="177">
        <f>1/3</f>
        <v>0.33333333333333331</v>
      </c>
      <c r="G166" s="180">
        <f>F166*E166</f>
        <v>2316.6666666666665</v>
      </c>
    </row>
    <row r="167" spans="2:7">
      <c r="B167" s="242" t="s">
        <v>403</v>
      </c>
      <c r="C167" s="242"/>
      <c r="D167" s="175" t="str">
        <f>IF(B167="","",VLOOKUP(B167,mat,2,FALSE))</f>
        <v>ml</v>
      </c>
      <c r="E167" s="193">
        <f>IF(B167="","0",VLOOKUP(B167,mat,3,FALSE))</f>
        <v>95000</v>
      </c>
      <c r="F167" s="177">
        <v>1</v>
      </c>
      <c r="G167" s="180">
        <f>F167*E167</f>
        <v>95000</v>
      </c>
    </row>
    <row r="168" spans="2:7">
      <c r="B168" s="242" t="s">
        <v>209</v>
      </c>
      <c r="C168" s="242"/>
      <c r="D168" s="175" t="str">
        <f>IF(B168="","",VLOOKUP(B168,mat,2,FALSE))</f>
        <v>un</v>
      </c>
      <c r="E168" s="193">
        <f>IF(B168="","0",VLOOKUP(B168,mat,3,FALSE))</f>
        <v>220</v>
      </c>
      <c r="F168" s="177">
        <v>4</v>
      </c>
      <c r="G168" s="180">
        <f t="shared" ref="G168:G170" si="7">F168*E168</f>
        <v>880</v>
      </c>
    </row>
    <row r="169" spans="2:7">
      <c r="B169" s="242" t="s">
        <v>411</v>
      </c>
      <c r="C169" s="242"/>
      <c r="D169" s="175" t="str">
        <f>IF(B169="","",VLOOKUP(B169,mat,2,FALSE))</f>
        <v>gl</v>
      </c>
      <c r="E169" s="193">
        <f>IF(B169="","0",VLOOKUP(B169,mat,3,FALSE))</f>
        <v>73990</v>
      </c>
      <c r="F169" s="177">
        <v>0.01</v>
      </c>
      <c r="G169" s="180">
        <f t="shared" si="7"/>
        <v>739.9</v>
      </c>
    </row>
    <row r="170" spans="2:7">
      <c r="B170" s="242"/>
      <c r="C170" s="242"/>
      <c r="D170" s="175" t="str">
        <f>IF(B170="","",VLOOKUP(B170,mat,2,FALSE))</f>
        <v/>
      </c>
      <c r="E170" s="193" t="str">
        <f>IF(B170="","0",VLOOKUP(B170,mat,3,FALSE))</f>
        <v>0</v>
      </c>
      <c r="F170" s="177"/>
      <c r="G170" s="180">
        <f t="shared" si="7"/>
        <v>0</v>
      </c>
    </row>
    <row r="171" spans="2:7">
      <c r="B171" s="169"/>
      <c r="C171" s="169"/>
      <c r="D171" s="169"/>
      <c r="E171" s="178"/>
      <c r="F171" s="171"/>
      <c r="G171" s="179">
        <f>SUM(G166:G170)</f>
        <v>98936.566666666666</v>
      </c>
    </row>
    <row r="172" spans="2:7">
      <c r="B172" s="167" t="s">
        <v>16</v>
      </c>
      <c r="C172" s="172"/>
      <c r="D172" s="172"/>
      <c r="E172" s="173"/>
      <c r="F172" s="174"/>
      <c r="G172" s="172"/>
    </row>
    <row r="173" spans="2:7" ht="14.25">
      <c r="B173" s="175" t="s">
        <v>17</v>
      </c>
      <c r="C173" s="175" t="s">
        <v>18</v>
      </c>
      <c r="D173" s="175" t="s">
        <v>19</v>
      </c>
      <c r="E173" s="176" t="s">
        <v>444</v>
      </c>
      <c r="F173" s="174" t="s">
        <v>20</v>
      </c>
      <c r="G173" s="175" t="s">
        <v>12</v>
      </c>
    </row>
    <row r="174" spans="2:7">
      <c r="B174" s="172" t="s">
        <v>21</v>
      </c>
      <c r="C174" s="175">
        <v>1.6000000000000001E-4</v>
      </c>
      <c r="D174" s="175">
        <v>1</v>
      </c>
      <c r="E174" s="181">
        <v>4500</v>
      </c>
      <c r="F174" s="177">
        <f>C174*D174*E174</f>
        <v>0.72000000000000008</v>
      </c>
      <c r="G174" s="173">
        <f>F174*E174</f>
        <v>3240.0000000000005</v>
      </c>
    </row>
    <row r="175" spans="2:7">
      <c r="B175" s="172"/>
      <c r="C175" s="172"/>
      <c r="D175" s="172"/>
      <c r="E175" s="173"/>
      <c r="F175" s="174"/>
      <c r="G175" s="172"/>
    </row>
    <row r="176" spans="2:7">
      <c r="B176" s="169"/>
      <c r="C176" s="169"/>
      <c r="D176" s="169"/>
      <c r="E176" s="178"/>
      <c r="F176" s="171"/>
      <c r="G176" s="179">
        <f>SUM(G174:G175)</f>
        <v>3240.0000000000005</v>
      </c>
    </row>
    <row r="177" spans="2:7">
      <c r="B177" s="167" t="s">
        <v>22</v>
      </c>
      <c r="C177" s="172"/>
      <c r="D177" s="172"/>
      <c r="E177" s="173"/>
      <c r="F177" s="174"/>
      <c r="G177" s="172"/>
    </row>
    <row r="178" spans="2:7">
      <c r="B178" s="175" t="s">
        <v>23</v>
      </c>
      <c r="C178" s="175" t="s">
        <v>24</v>
      </c>
      <c r="D178" s="175" t="s">
        <v>25</v>
      </c>
      <c r="E178" s="182" t="s">
        <v>26</v>
      </c>
      <c r="F178" s="174" t="s">
        <v>11</v>
      </c>
      <c r="G178" s="175" t="s">
        <v>12</v>
      </c>
    </row>
    <row r="179" spans="2:7">
      <c r="B179" s="183" t="s">
        <v>48</v>
      </c>
      <c r="C179" s="173">
        <f>VLOOKUP(B179,Jornal,2,FALSE)</f>
        <v>216000</v>
      </c>
      <c r="D179" s="175">
        <v>1.73</v>
      </c>
      <c r="E179" s="184">
        <f>D179*C179</f>
        <v>373680</v>
      </c>
      <c r="F179" s="177">
        <f>1/40</f>
        <v>2.5000000000000001E-2</v>
      </c>
      <c r="G179" s="173">
        <f>F179*E179</f>
        <v>9342</v>
      </c>
    </row>
    <row r="180" spans="2:7">
      <c r="B180" s="183"/>
      <c r="C180" s="173"/>
      <c r="D180" s="175"/>
      <c r="E180" s="184"/>
      <c r="F180" s="177"/>
      <c r="G180" s="173">
        <f>F180*E180</f>
        <v>0</v>
      </c>
    </row>
    <row r="181" spans="2:7">
      <c r="B181" s="183"/>
      <c r="C181" s="173"/>
      <c r="D181" s="172"/>
      <c r="E181" s="173"/>
      <c r="F181" s="177"/>
      <c r="G181" s="173"/>
    </row>
    <row r="182" spans="2:7">
      <c r="B182" s="169"/>
      <c r="C182" s="169"/>
      <c r="D182" s="169"/>
      <c r="E182" s="178"/>
      <c r="F182" s="171"/>
      <c r="G182" s="180">
        <f>SUM(G179:G181)</f>
        <v>9342</v>
      </c>
    </row>
    <row r="183" spans="2:7">
      <c r="B183" s="169"/>
      <c r="C183" s="169"/>
      <c r="D183" s="169"/>
      <c r="E183" s="178"/>
      <c r="F183" s="171"/>
      <c r="G183" s="169"/>
    </row>
    <row r="184" spans="2:7">
      <c r="B184" s="169"/>
      <c r="C184" s="169"/>
      <c r="D184" s="169"/>
      <c r="E184" s="243" t="s">
        <v>27</v>
      </c>
      <c r="F184" s="243"/>
      <c r="G184" s="187">
        <f>+G182+G176+G171+G163</f>
        <v>114092.76666666666</v>
      </c>
    </row>
    <row r="186" spans="2:7">
      <c r="B186" s="188"/>
      <c r="C186" s="189"/>
      <c r="D186" s="190"/>
      <c r="E186" s="191"/>
      <c r="F186" s="192"/>
      <c r="G186" s="189"/>
    </row>
    <row r="188" spans="2:7">
      <c r="B188" s="239" t="s">
        <v>440</v>
      </c>
      <c r="C188" s="239"/>
      <c r="D188" s="239"/>
      <c r="E188" s="239"/>
      <c r="F188" s="239"/>
      <c r="G188" s="239"/>
    </row>
    <row r="189" spans="2:7">
      <c r="B189" s="239" t="s">
        <v>441</v>
      </c>
      <c r="C189" s="239"/>
      <c r="D189" s="239"/>
      <c r="E189" s="239"/>
      <c r="F189" s="239"/>
      <c r="G189" s="239"/>
    </row>
    <row r="190" spans="2:7">
      <c r="B190" s="245"/>
      <c r="C190" s="245"/>
      <c r="D190" s="245"/>
      <c r="E190" s="245"/>
      <c r="F190" s="245"/>
      <c r="G190" s="245"/>
    </row>
    <row r="191" spans="2:7">
      <c r="B191" s="239" t="s">
        <v>4</v>
      </c>
      <c r="C191" s="239"/>
      <c r="D191" s="239"/>
      <c r="E191" s="239"/>
      <c r="F191" s="239"/>
      <c r="G191" s="239"/>
    </row>
    <row r="192" spans="2:7">
      <c r="B192" s="244"/>
      <c r="C192" s="244"/>
      <c r="D192" s="245"/>
      <c r="E192" s="245"/>
      <c r="F192" s="245"/>
      <c r="G192" s="245"/>
    </row>
    <row r="193" spans="2:7" ht="26.45" customHeight="1">
      <c r="B193" s="166" t="s">
        <v>5</v>
      </c>
      <c r="C193" s="240" t="s">
        <v>505</v>
      </c>
      <c r="D193" s="240"/>
      <c r="E193" s="240"/>
      <c r="F193" s="240"/>
      <c r="G193" s="240"/>
    </row>
    <row r="194" spans="2:7">
      <c r="B194" s="164" t="s">
        <v>7</v>
      </c>
      <c r="C194" s="248" t="s">
        <v>6</v>
      </c>
      <c r="D194" s="249"/>
      <c r="E194" s="249"/>
      <c r="F194" s="164" t="s">
        <v>8</v>
      </c>
      <c r="G194" s="164" t="s">
        <v>445</v>
      </c>
    </row>
    <row r="195" spans="2:7" ht="55.15" customHeight="1">
      <c r="B195" s="214" t="s">
        <v>451</v>
      </c>
      <c r="C195" s="250" t="s">
        <v>476</v>
      </c>
      <c r="D195" s="251"/>
      <c r="E195" s="251"/>
      <c r="F195" s="212" t="s">
        <v>39</v>
      </c>
      <c r="G195" s="213">
        <f>G220</f>
        <v>23340.54</v>
      </c>
    </row>
    <row r="196" spans="2:7">
      <c r="B196" s="168"/>
      <c r="C196" s="169"/>
      <c r="D196" s="168"/>
      <c r="E196" s="170"/>
      <c r="F196" s="171"/>
      <c r="G196" s="169"/>
    </row>
    <row r="197" spans="2:7">
      <c r="B197" s="167" t="s">
        <v>9</v>
      </c>
      <c r="C197" s="172"/>
      <c r="D197" s="172"/>
      <c r="E197" s="173"/>
      <c r="F197" s="174"/>
      <c r="G197" s="172"/>
    </row>
    <row r="198" spans="2:7">
      <c r="B198" s="241" t="s">
        <v>0</v>
      </c>
      <c r="C198" s="241"/>
      <c r="D198" s="175" t="s">
        <v>1</v>
      </c>
      <c r="E198" s="176" t="s">
        <v>10</v>
      </c>
      <c r="F198" s="174" t="s">
        <v>11</v>
      </c>
      <c r="G198" s="175" t="s">
        <v>12</v>
      </c>
    </row>
    <row r="199" spans="2:7">
      <c r="B199" s="242" t="s">
        <v>62</v>
      </c>
      <c r="C199" s="242"/>
      <c r="D199" s="175" t="s">
        <v>13</v>
      </c>
      <c r="E199" s="173">
        <f>G218*0.1</f>
        <v>498.24</v>
      </c>
      <c r="F199" s="177">
        <v>1</v>
      </c>
      <c r="G199" s="173">
        <f>F199*E199</f>
        <v>498.24</v>
      </c>
    </row>
    <row r="200" spans="2:7">
      <c r="B200" s="242"/>
      <c r="C200" s="242"/>
      <c r="D200" s="175"/>
      <c r="E200" s="173"/>
      <c r="F200" s="177"/>
      <c r="G200" s="173"/>
    </row>
    <row r="201" spans="2:7">
      <c r="B201" s="169"/>
      <c r="C201" s="169"/>
      <c r="D201" s="169"/>
      <c r="E201" s="178"/>
      <c r="F201" s="171"/>
      <c r="G201" s="179">
        <f>SUM(G199:G200)</f>
        <v>498.24</v>
      </c>
    </row>
    <row r="202" spans="2:7">
      <c r="B202" s="167" t="s">
        <v>14</v>
      </c>
      <c r="C202" s="172"/>
      <c r="D202" s="172"/>
      <c r="E202" s="173"/>
      <c r="F202" s="174"/>
      <c r="G202" s="172"/>
    </row>
    <row r="203" spans="2:7">
      <c r="B203" s="241" t="s">
        <v>0</v>
      </c>
      <c r="C203" s="241"/>
      <c r="D203" s="175" t="s">
        <v>1</v>
      </c>
      <c r="E203" s="176" t="s">
        <v>10</v>
      </c>
      <c r="F203" s="174" t="s">
        <v>15</v>
      </c>
      <c r="G203" s="175" t="s">
        <v>12</v>
      </c>
    </row>
    <row r="204" spans="2:7">
      <c r="B204" s="242" t="s">
        <v>477</v>
      </c>
      <c r="C204" s="242"/>
      <c r="D204" s="175" t="str">
        <f>IF(B204="","",VLOOKUP(B204,mat,2,FALSE))</f>
        <v>un</v>
      </c>
      <c r="E204" s="193">
        <f>IF(B204="","0",VLOOKUP(B204,mat,3,FALSE))</f>
        <v>15500</v>
      </c>
      <c r="F204" s="177">
        <v>1</v>
      </c>
      <c r="G204" s="180">
        <f>F204*E204</f>
        <v>15500</v>
      </c>
    </row>
    <row r="205" spans="2:7">
      <c r="B205" s="242" t="s">
        <v>411</v>
      </c>
      <c r="C205" s="242"/>
      <c r="D205" s="175" t="str">
        <f>IF(B205="","",VLOOKUP(B205,mat,2,FALSE))</f>
        <v>gl</v>
      </c>
      <c r="E205" s="193">
        <f>IF(B205="","0",VLOOKUP(B205,mat,3,FALSE))</f>
        <v>73990</v>
      </c>
      <c r="F205" s="177">
        <v>0.01</v>
      </c>
      <c r="G205" s="180">
        <f t="shared" ref="G205:G206" si="8">F205*E205</f>
        <v>739.9</v>
      </c>
    </row>
    <row r="206" spans="2:7">
      <c r="B206" s="242"/>
      <c r="C206" s="242"/>
      <c r="D206" s="175" t="str">
        <f>IF(B206="","",VLOOKUP(B206,mat,2,FALSE))</f>
        <v/>
      </c>
      <c r="E206" s="193" t="str">
        <f>IF(B206="","0",VLOOKUP(B206,mat,3,FALSE))</f>
        <v>0</v>
      </c>
      <c r="F206" s="177"/>
      <c r="G206" s="180">
        <f t="shared" si="8"/>
        <v>0</v>
      </c>
    </row>
    <row r="207" spans="2:7">
      <c r="B207" s="169"/>
      <c r="C207" s="169"/>
      <c r="D207" s="169"/>
      <c r="E207" s="178"/>
      <c r="F207" s="171"/>
      <c r="G207" s="179">
        <f>SUM(G204:G206)</f>
        <v>16239.9</v>
      </c>
    </row>
    <row r="208" spans="2:7">
      <c r="B208" s="167" t="s">
        <v>16</v>
      </c>
      <c r="C208" s="172"/>
      <c r="D208" s="172"/>
      <c r="E208" s="173"/>
      <c r="F208" s="174"/>
      <c r="G208" s="172"/>
    </row>
    <row r="209" spans="2:7" ht="14.25">
      <c r="B209" s="175" t="s">
        <v>17</v>
      </c>
      <c r="C209" s="175" t="s">
        <v>18</v>
      </c>
      <c r="D209" s="175" t="s">
        <v>19</v>
      </c>
      <c r="E209" s="176" t="s">
        <v>444</v>
      </c>
      <c r="F209" s="174" t="s">
        <v>20</v>
      </c>
      <c r="G209" s="175" t="s">
        <v>12</v>
      </c>
    </row>
    <row r="210" spans="2:7">
      <c r="B210" s="172" t="s">
        <v>21</v>
      </c>
      <c r="C210" s="175">
        <v>8.0000000000000007E-5</v>
      </c>
      <c r="D210" s="175">
        <v>1</v>
      </c>
      <c r="E210" s="181">
        <v>4500</v>
      </c>
      <c r="F210" s="177">
        <f>C210*D210*E210</f>
        <v>0.36000000000000004</v>
      </c>
      <c r="G210" s="173">
        <f>F210*E210</f>
        <v>1620.0000000000002</v>
      </c>
    </row>
    <row r="211" spans="2:7">
      <c r="B211" s="172"/>
      <c r="C211" s="172"/>
      <c r="D211" s="172"/>
      <c r="E211" s="173"/>
      <c r="F211" s="174"/>
      <c r="G211" s="172"/>
    </row>
    <row r="212" spans="2:7">
      <c r="B212" s="169"/>
      <c r="C212" s="169"/>
      <c r="D212" s="169"/>
      <c r="E212" s="178"/>
      <c r="F212" s="171"/>
      <c r="G212" s="179">
        <f>SUM(G210:G211)</f>
        <v>1620.0000000000002</v>
      </c>
    </row>
    <row r="213" spans="2:7">
      <c r="B213" s="167" t="s">
        <v>22</v>
      </c>
      <c r="C213" s="172"/>
      <c r="D213" s="172"/>
      <c r="E213" s="173"/>
      <c r="F213" s="174"/>
      <c r="G213" s="172"/>
    </row>
    <row r="214" spans="2:7">
      <c r="B214" s="175" t="s">
        <v>23</v>
      </c>
      <c r="C214" s="175" t="s">
        <v>24</v>
      </c>
      <c r="D214" s="175" t="s">
        <v>25</v>
      </c>
      <c r="E214" s="182" t="s">
        <v>26</v>
      </c>
      <c r="F214" s="174" t="s">
        <v>11</v>
      </c>
      <c r="G214" s="175" t="s">
        <v>12</v>
      </c>
    </row>
    <row r="215" spans="2:7">
      <c r="B215" s="183" t="s">
        <v>43</v>
      </c>
      <c r="C215" s="173">
        <f>VLOOKUP(B215,Jornal,2,FALSE)</f>
        <v>96000</v>
      </c>
      <c r="D215" s="175">
        <v>1.73</v>
      </c>
      <c r="E215" s="184">
        <f>D215*C215</f>
        <v>166080</v>
      </c>
      <c r="F215" s="177">
        <v>0.03</v>
      </c>
      <c r="G215" s="173">
        <f>F215*E215</f>
        <v>4982.3999999999996</v>
      </c>
    </row>
    <row r="216" spans="2:7">
      <c r="B216" s="183"/>
      <c r="C216" s="173"/>
      <c r="D216" s="175"/>
      <c r="E216" s="184"/>
      <c r="F216" s="177"/>
      <c r="G216" s="173">
        <f>F216*E216</f>
        <v>0</v>
      </c>
    </row>
    <row r="217" spans="2:7">
      <c r="B217" s="183"/>
      <c r="C217" s="173"/>
      <c r="D217" s="172"/>
      <c r="E217" s="173"/>
      <c r="F217" s="177"/>
      <c r="G217" s="173"/>
    </row>
    <row r="218" spans="2:7">
      <c r="B218" s="169"/>
      <c r="C218" s="169"/>
      <c r="D218" s="169"/>
      <c r="E218" s="178"/>
      <c r="F218" s="171"/>
      <c r="G218" s="180">
        <f>SUM(G215:G217)</f>
        <v>4982.3999999999996</v>
      </c>
    </row>
    <row r="219" spans="2:7">
      <c r="B219" s="169"/>
      <c r="C219" s="169"/>
      <c r="D219" s="169"/>
      <c r="E219" s="178"/>
      <c r="F219" s="171"/>
      <c r="G219" s="169"/>
    </row>
    <row r="220" spans="2:7">
      <c r="B220" s="169"/>
      <c r="C220" s="169"/>
      <c r="D220" s="169"/>
      <c r="E220" s="243" t="s">
        <v>27</v>
      </c>
      <c r="F220" s="243"/>
      <c r="G220" s="187">
        <f>+G218+G212+G207+G201</f>
        <v>23340.54</v>
      </c>
    </row>
    <row r="222" spans="2:7">
      <c r="B222" s="188"/>
      <c r="C222" s="189"/>
      <c r="D222" s="190"/>
      <c r="E222" s="191"/>
      <c r="F222" s="192"/>
      <c r="G222" s="189"/>
    </row>
    <row r="224" spans="2:7" ht="34.15" customHeight="1">
      <c r="B224" s="239" t="s">
        <v>440</v>
      </c>
      <c r="C224" s="239"/>
      <c r="D224" s="239"/>
      <c r="E224" s="239"/>
      <c r="F224" s="239"/>
      <c r="G224" s="239"/>
    </row>
    <row r="225" spans="2:7" ht="34.15" customHeight="1">
      <c r="B225" s="239" t="s">
        <v>441</v>
      </c>
      <c r="C225" s="239"/>
      <c r="D225" s="239"/>
      <c r="E225" s="239"/>
      <c r="F225" s="239"/>
      <c r="G225" s="239"/>
    </row>
    <row r="226" spans="2:7">
      <c r="B226" s="245"/>
      <c r="C226" s="245"/>
      <c r="D226" s="245"/>
      <c r="E226" s="245"/>
      <c r="F226" s="245"/>
      <c r="G226" s="245"/>
    </row>
    <row r="227" spans="2:7">
      <c r="B227" s="239" t="s">
        <v>4</v>
      </c>
      <c r="C227" s="239"/>
      <c r="D227" s="239"/>
      <c r="E227" s="239"/>
      <c r="F227" s="239"/>
      <c r="G227" s="239"/>
    </row>
    <row r="228" spans="2:7">
      <c r="B228" s="244"/>
      <c r="C228" s="244"/>
      <c r="D228" s="245"/>
      <c r="E228" s="245"/>
      <c r="F228" s="245"/>
      <c r="G228" s="245"/>
    </row>
    <row r="229" spans="2:7" ht="27" customHeight="1">
      <c r="B229" s="166" t="s">
        <v>5</v>
      </c>
      <c r="C229" s="240" t="s">
        <v>505</v>
      </c>
      <c r="D229" s="240"/>
      <c r="E229" s="240"/>
      <c r="F229" s="240"/>
      <c r="G229" s="240"/>
    </row>
    <row r="230" spans="2:7">
      <c r="B230" s="164" t="s">
        <v>7</v>
      </c>
      <c r="C230" s="248" t="s">
        <v>6</v>
      </c>
      <c r="D230" s="249"/>
      <c r="E230" s="249"/>
      <c r="F230" s="164" t="s">
        <v>8</v>
      </c>
      <c r="G230" s="164" t="s">
        <v>445</v>
      </c>
    </row>
    <row r="231" spans="2:7" ht="55.15" customHeight="1">
      <c r="B231" s="214" t="s">
        <v>455</v>
      </c>
      <c r="C231" s="250" t="s">
        <v>480</v>
      </c>
      <c r="D231" s="251"/>
      <c r="E231" s="251"/>
      <c r="F231" s="212" t="s">
        <v>38</v>
      </c>
      <c r="G231" s="213">
        <f>G258</f>
        <v>25396.75</v>
      </c>
    </row>
    <row r="232" spans="2:7">
      <c r="B232" s="168"/>
      <c r="C232" s="169"/>
      <c r="D232" s="168"/>
      <c r="E232" s="170"/>
      <c r="F232" s="171"/>
      <c r="G232" s="169"/>
    </row>
    <row r="233" spans="2:7">
      <c r="B233" s="167" t="s">
        <v>9</v>
      </c>
      <c r="C233" s="172"/>
      <c r="D233" s="172"/>
      <c r="E233" s="173"/>
      <c r="F233" s="174"/>
      <c r="G233" s="172"/>
    </row>
    <row r="234" spans="2:7">
      <c r="B234" s="241" t="s">
        <v>0</v>
      </c>
      <c r="C234" s="241"/>
      <c r="D234" s="175" t="s">
        <v>1</v>
      </c>
      <c r="E234" s="176" t="s">
        <v>10</v>
      </c>
      <c r="F234" s="174" t="s">
        <v>11</v>
      </c>
      <c r="G234" s="175" t="s">
        <v>12</v>
      </c>
    </row>
    <row r="235" spans="2:7">
      <c r="B235" s="242" t="s">
        <v>62</v>
      </c>
      <c r="C235" s="242"/>
      <c r="D235" s="175" t="s">
        <v>13</v>
      </c>
      <c r="E235" s="173">
        <f>G256*0.1</f>
        <v>449.8</v>
      </c>
      <c r="F235" s="177">
        <v>1</v>
      </c>
      <c r="G235" s="173">
        <f>F235*E235</f>
        <v>449.8</v>
      </c>
    </row>
    <row r="236" spans="2:7">
      <c r="B236" s="242" t="s">
        <v>453</v>
      </c>
      <c r="C236" s="242"/>
      <c r="D236" s="175" t="s">
        <v>452</v>
      </c>
      <c r="E236" s="173">
        <f>1800*2+800*2+1500*2</f>
        <v>8200</v>
      </c>
      <c r="F236" s="177">
        <f>1.5*(1/20)</f>
        <v>7.5000000000000011E-2</v>
      </c>
      <c r="G236" s="173">
        <f>F236*E236</f>
        <v>615.00000000000011</v>
      </c>
    </row>
    <row r="237" spans="2:7">
      <c r="B237" s="169"/>
      <c r="C237" s="169"/>
      <c r="D237" s="169"/>
      <c r="E237" s="178"/>
      <c r="F237" s="171"/>
      <c r="G237" s="179">
        <f>SUM(G235:G236)</f>
        <v>1064.8000000000002</v>
      </c>
    </row>
    <row r="238" spans="2:7">
      <c r="B238" s="167" t="s">
        <v>14</v>
      </c>
      <c r="C238" s="172"/>
      <c r="D238" s="172"/>
      <c r="E238" s="173"/>
      <c r="F238" s="174"/>
      <c r="G238" s="172"/>
    </row>
    <row r="239" spans="2:7">
      <c r="B239" s="241" t="s">
        <v>0</v>
      </c>
      <c r="C239" s="241"/>
      <c r="D239" s="175" t="s">
        <v>1</v>
      </c>
      <c r="E239" s="176" t="s">
        <v>10</v>
      </c>
      <c r="F239" s="174" t="s">
        <v>15</v>
      </c>
      <c r="G239" s="175" t="s">
        <v>12</v>
      </c>
    </row>
    <row r="240" spans="2:7">
      <c r="B240" s="242" t="s">
        <v>481</v>
      </c>
      <c r="C240" s="242"/>
      <c r="D240" s="175" t="str">
        <f>IF(B240="","",VLOOKUP(B240,mat,2,FALSE))</f>
        <v>ml</v>
      </c>
      <c r="E240" s="193">
        <f>IF(B240="","0",VLOOKUP(B240,mat,3,FALSE))</f>
        <v>12000</v>
      </c>
      <c r="F240" s="177">
        <v>1</v>
      </c>
      <c r="G240" s="180">
        <f>F240*E240</f>
        <v>12000</v>
      </c>
    </row>
    <row r="241" spans="2:7">
      <c r="B241" s="242" t="s">
        <v>482</v>
      </c>
      <c r="C241" s="242"/>
      <c r="D241" s="175" t="str">
        <f>IF(B241="","",VLOOKUP(B241,mat,2,FALSE))</f>
        <v>un</v>
      </c>
      <c r="E241" s="193">
        <f>IF(B241="","0",VLOOKUP(B241,mat,3,FALSE))</f>
        <v>9870</v>
      </c>
      <c r="F241" s="177">
        <v>0.6</v>
      </c>
      <c r="G241" s="180">
        <f t="shared" ref="G241:G244" si="9">F241*E241</f>
        <v>5922</v>
      </c>
    </row>
    <row r="242" spans="2:7">
      <c r="B242" s="242" t="s">
        <v>256</v>
      </c>
      <c r="C242" s="242"/>
      <c r="D242" s="175" t="str">
        <f>IF(B242="","",VLOOKUP(B242,mat,2,FALSE))</f>
        <v>gl/4</v>
      </c>
      <c r="E242" s="193">
        <f>IF(B242="","0",VLOOKUP(B242,mat,3,FALSE))</f>
        <v>37950</v>
      </c>
      <c r="F242" s="177">
        <v>0.01</v>
      </c>
      <c r="G242" s="180">
        <f t="shared" si="9"/>
        <v>379.5</v>
      </c>
    </row>
    <row r="243" spans="2:7">
      <c r="B243" s="242" t="s">
        <v>257</v>
      </c>
      <c r="C243" s="242"/>
      <c r="D243" s="175" t="str">
        <f>IF(B243="","",VLOOKUP(B243,mat,2,FALSE))</f>
        <v>gl/4</v>
      </c>
      <c r="E243" s="193">
        <f>IF(B243="","0",VLOOKUP(B243,mat,3,FALSE))</f>
        <v>62120</v>
      </c>
      <c r="F243" s="177">
        <v>0.01</v>
      </c>
      <c r="G243" s="180">
        <f t="shared" si="9"/>
        <v>621.20000000000005</v>
      </c>
    </row>
    <row r="244" spans="2:7">
      <c r="B244" s="242"/>
      <c r="C244" s="242"/>
      <c r="D244" s="175" t="str">
        <f>IF(B244="","",VLOOKUP(B244,mat,2,FALSE))</f>
        <v/>
      </c>
      <c r="E244" s="193" t="str">
        <f>IF(B244="","0",VLOOKUP(B244,mat,3,FALSE))</f>
        <v>0</v>
      </c>
      <c r="F244" s="177"/>
      <c r="G244" s="180">
        <f t="shared" si="9"/>
        <v>0</v>
      </c>
    </row>
    <row r="245" spans="2:7">
      <c r="B245" s="169"/>
      <c r="C245" s="169"/>
      <c r="D245" s="169"/>
      <c r="E245" s="178"/>
      <c r="F245" s="171"/>
      <c r="G245" s="179">
        <f>SUM(G240:G244)</f>
        <v>18922.7</v>
      </c>
    </row>
    <row r="246" spans="2:7">
      <c r="B246" s="167" t="s">
        <v>16</v>
      </c>
      <c r="C246" s="172"/>
      <c r="D246" s="172"/>
      <c r="E246" s="173"/>
      <c r="F246" s="174"/>
      <c r="G246" s="172"/>
    </row>
    <row r="247" spans="2:7" ht="14.25">
      <c r="B247" s="175" t="s">
        <v>17</v>
      </c>
      <c r="C247" s="175" t="s">
        <v>18</v>
      </c>
      <c r="D247" s="175" t="s">
        <v>19</v>
      </c>
      <c r="E247" s="176" t="s">
        <v>444</v>
      </c>
      <c r="F247" s="174" t="s">
        <v>20</v>
      </c>
      <c r="G247" s="175" t="s">
        <v>12</v>
      </c>
    </row>
    <row r="248" spans="2:7">
      <c r="B248" s="172" t="s">
        <v>21</v>
      </c>
      <c r="C248" s="175">
        <v>4.5000000000000003E-5</v>
      </c>
      <c r="D248" s="175">
        <v>1</v>
      </c>
      <c r="E248" s="181">
        <v>4500</v>
      </c>
      <c r="F248" s="177">
        <f>C248*D248*E248</f>
        <v>0.20250000000000001</v>
      </c>
      <c r="G248" s="173">
        <f>F248*E248</f>
        <v>911.25000000000011</v>
      </c>
    </row>
    <row r="249" spans="2:7">
      <c r="B249" s="172"/>
      <c r="C249" s="172"/>
      <c r="D249" s="172"/>
      <c r="E249" s="173"/>
      <c r="F249" s="174"/>
      <c r="G249" s="172"/>
    </row>
    <row r="250" spans="2:7">
      <c r="B250" s="169"/>
      <c r="C250" s="169"/>
      <c r="D250" s="169"/>
      <c r="E250" s="178"/>
      <c r="F250" s="171"/>
      <c r="G250" s="179">
        <f>SUM(G248:G249)</f>
        <v>911.25000000000011</v>
      </c>
    </row>
    <row r="251" spans="2:7">
      <c r="B251" s="167" t="s">
        <v>22</v>
      </c>
      <c r="C251" s="172"/>
      <c r="D251" s="172"/>
      <c r="E251" s="173"/>
      <c r="F251" s="174"/>
      <c r="G251" s="172"/>
    </row>
    <row r="252" spans="2:7">
      <c r="B252" s="175" t="s">
        <v>23</v>
      </c>
      <c r="C252" s="175" t="s">
        <v>24</v>
      </c>
      <c r="D252" s="175" t="s">
        <v>25</v>
      </c>
      <c r="E252" s="182" t="s">
        <v>26</v>
      </c>
      <c r="F252" s="174" t="s">
        <v>11</v>
      </c>
      <c r="G252" s="175" t="s">
        <v>12</v>
      </c>
    </row>
    <row r="253" spans="2:7">
      <c r="B253" s="183" t="s">
        <v>47</v>
      </c>
      <c r="C253" s="173">
        <f>VLOOKUP(B253,Jornal,2,FALSE)</f>
        <v>156000</v>
      </c>
      <c r="D253" s="175">
        <v>1.73</v>
      </c>
      <c r="E253" s="184">
        <f>D253*C253</f>
        <v>269880</v>
      </c>
      <c r="F253" s="177">
        <f>1/60</f>
        <v>1.6666666666666666E-2</v>
      </c>
      <c r="G253" s="173">
        <f>F253*E253</f>
        <v>4498</v>
      </c>
    </row>
    <row r="254" spans="2:7">
      <c r="B254" s="183"/>
      <c r="C254" s="173"/>
      <c r="D254" s="175"/>
      <c r="E254" s="184"/>
      <c r="F254" s="177"/>
      <c r="G254" s="173">
        <f>F254*E254</f>
        <v>0</v>
      </c>
    </row>
    <row r="255" spans="2:7">
      <c r="B255" s="183"/>
      <c r="C255" s="173"/>
      <c r="D255" s="172"/>
      <c r="E255" s="173"/>
      <c r="F255" s="177"/>
      <c r="G255" s="173"/>
    </row>
    <row r="256" spans="2:7">
      <c r="B256" s="169"/>
      <c r="C256" s="169"/>
      <c r="D256" s="169"/>
      <c r="E256" s="178"/>
      <c r="F256" s="171"/>
      <c r="G256" s="180">
        <f>SUM(G253:G255)</f>
        <v>4498</v>
      </c>
    </row>
    <row r="257" spans="2:7">
      <c r="B257" s="169"/>
      <c r="C257" s="169"/>
      <c r="D257" s="169"/>
      <c r="E257" s="178"/>
      <c r="F257" s="171"/>
      <c r="G257" s="169"/>
    </row>
    <row r="258" spans="2:7">
      <c r="B258" s="169"/>
      <c r="C258" s="169"/>
      <c r="D258" s="169"/>
      <c r="E258" s="243" t="s">
        <v>27</v>
      </c>
      <c r="F258" s="243"/>
      <c r="G258" s="187">
        <f>+G256+G250+G245+G237</f>
        <v>25396.75</v>
      </c>
    </row>
    <row r="260" spans="2:7">
      <c r="B260" s="188"/>
      <c r="C260" s="189"/>
      <c r="D260" s="190"/>
      <c r="E260" s="191"/>
      <c r="F260" s="192"/>
      <c r="G260" s="189"/>
    </row>
    <row r="262" spans="2:7" ht="34.15" customHeight="1">
      <c r="B262" s="239" t="s">
        <v>440</v>
      </c>
      <c r="C262" s="239"/>
      <c r="D262" s="239"/>
      <c r="E262" s="239"/>
      <c r="F262" s="239"/>
      <c r="G262" s="239"/>
    </row>
    <row r="263" spans="2:7" ht="34.15" customHeight="1">
      <c r="B263" s="239" t="s">
        <v>441</v>
      </c>
      <c r="C263" s="239"/>
      <c r="D263" s="239"/>
      <c r="E263" s="239"/>
      <c r="F263" s="239"/>
      <c r="G263" s="239"/>
    </row>
    <row r="264" spans="2:7">
      <c r="B264" s="245"/>
      <c r="C264" s="245"/>
      <c r="D264" s="245"/>
      <c r="E264" s="245"/>
      <c r="F264" s="245"/>
      <c r="G264" s="245"/>
    </row>
    <row r="265" spans="2:7">
      <c r="B265" s="239" t="s">
        <v>4</v>
      </c>
      <c r="C265" s="239"/>
      <c r="D265" s="239"/>
      <c r="E265" s="239"/>
      <c r="F265" s="239"/>
      <c r="G265" s="239"/>
    </row>
    <row r="266" spans="2:7">
      <c r="B266" s="244"/>
      <c r="C266" s="244"/>
      <c r="D266" s="245"/>
      <c r="E266" s="245"/>
      <c r="F266" s="245"/>
      <c r="G266" s="245"/>
    </row>
    <row r="267" spans="2:7" ht="27" customHeight="1">
      <c r="B267" s="166" t="s">
        <v>5</v>
      </c>
      <c r="C267" s="240" t="s">
        <v>505</v>
      </c>
      <c r="D267" s="240"/>
      <c r="E267" s="240"/>
      <c r="F267" s="240"/>
      <c r="G267" s="240"/>
    </row>
    <row r="268" spans="2:7">
      <c r="B268" s="164" t="s">
        <v>7</v>
      </c>
      <c r="C268" s="248" t="s">
        <v>6</v>
      </c>
      <c r="D268" s="249"/>
      <c r="E268" s="249"/>
      <c r="F268" s="164" t="s">
        <v>8</v>
      </c>
      <c r="G268" s="164" t="s">
        <v>445</v>
      </c>
    </row>
    <row r="269" spans="2:7" ht="55.15" customHeight="1">
      <c r="B269" s="214" t="s">
        <v>456</v>
      </c>
      <c r="C269" s="250" t="s">
        <v>483</v>
      </c>
      <c r="D269" s="251"/>
      <c r="E269" s="251"/>
      <c r="F269" s="212" t="s">
        <v>39</v>
      </c>
      <c r="G269" s="213">
        <f>G293</f>
        <v>52628.61</v>
      </c>
    </row>
    <row r="270" spans="2:7">
      <c r="B270" s="168"/>
      <c r="C270" s="169"/>
      <c r="D270" s="168"/>
      <c r="E270" s="170"/>
      <c r="F270" s="171"/>
      <c r="G270" s="169"/>
    </row>
    <row r="271" spans="2:7">
      <c r="B271" s="167" t="s">
        <v>9</v>
      </c>
      <c r="C271" s="172"/>
      <c r="D271" s="172"/>
      <c r="E271" s="173"/>
      <c r="F271" s="174"/>
      <c r="G271" s="172"/>
    </row>
    <row r="272" spans="2:7">
      <c r="B272" s="241" t="s">
        <v>0</v>
      </c>
      <c r="C272" s="241"/>
      <c r="D272" s="175" t="s">
        <v>1</v>
      </c>
      <c r="E272" s="176" t="s">
        <v>10</v>
      </c>
      <c r="F272" s="174" t="s">
        <v>11</v>
      </c>
      <c r="G272" s="175" t="s">
        <v>12</v>
      </c>
    </row>
    <row r="273" spans="2:7">
      <c r="B273" s="242" t="s">
        <v>62</v>
      </c>
      <c r="C273" s="242"/>
      <c r="D273" s="175" t="s">
        <v>13</v>
      </c>
      <c r="E273" s="173">
        <f>G291*0.1</f>
        <v>539.7600000000001</v>
      </c>
      <c r="F273" s="177">
        <v>1</v>
      </c>
      <c r="G273" s="173">
        <f>F273*E273</f>
        <v>539.7600000000001</v>
      </c>
    </row>
    <row r="274" spans="2:7">
      <c r="B274" s="242"/>
      <c r="C274" s="242"/>
      <c r="D274" s="175"/>
      <c r="E274" s="173"/>
      <c r="F274" s="177"/>
      <c r="G274" s="173"/>
    </row>
    <row r="275" spans="2:7">
      <c r="B275" s="169"/>
      <c r="C275" s="169"/>
      <c r="D275" s="169"/>
      <c r="E275" s="178"/>
      <c r="F275" s="171"/>
      <c r="G275" s="179">
        <f>SUM(G273:G274)</f>
        <v>539.7600000000001</v>
      </c>
    </row>
    <row r="276" spans="2:7">
      <c r="B276" s="167" t="s">
        <v>14</v>
      </c>
      <c r="C276" s="172"/>
      <c r="D276" s="172"/>
      <c r="E276" s="173"/>
      <c r="F276" s="174"/>
      <c r="G276" s="172"/>
    </row>
    <row r="277" spans="2:7">
      <c r="B277" s="241" t="s">
        <v>0</v>
      </c>
      <c r="C277" s="241"/>
      <c r="D277" s="175" t="s">
        <v>1</v>
      </c>
      <c r="E277" s="176" t="s">
        <v>10</v>
      </c>
      <c r="F277" s="174" t="s">
        <v>15</v>
      </c>
      <c r="G277" s="175" t="s">
        <v>12</v>
      </c>
    </row>
    <row r="278" spans="2:7">
      <c r="B278" s="242" t="s">
        <v>341</v>
      </c>
      <c r="C278" s="242"/>
      <c r="D278" s="175" t="str">
        <f>IF(B278="","",VLOOKUP(B278,mat,2,FALSE))</f>
        <v>un</v>
      </c>
      <c r="E278" s="193">
        <f>IF(B278="","0",VLOOKUP(B278,mat,3,FALSE))</f>
        <v>45780</v>
      </c>
      <c r="F278" s="177">
        <v>1</v>
      </c>
      <c r="G278" s="180">
        <f>F278*E278</f>
        <v>45780</v>
      </c>
    </row>
    <row r="279" spans="2:7">
      <c r="B279" s="242"/>
      <c r="C279" s="242"/>
      <c r="D279" s="175" t="str">
        <f>IF(B279="","",VLOOKUP(B279,mat,2,FALSE))</f>
        <v/>
      </c>
      <c r="E279" s="193" t="str">
        <f>IF(B279="","0",VLOOKUP(B279,mat,3,FALSE))</f>
        <v>0</v>
      </c>
      <c r="F279" s="177"/>
      <c r="G279" s="180">
        <f t="shared" ref="G279" si="10">F279*E279</f>
        <v>0</v>
      </c>
    </row>
    <row r="280" spans="2:7">
      <c r="B280" s="169"/>
      <c r="C280" s="169"/>
      <c r="D280" s="169"/>
      <c r="E280" s="178"/>
      <c r="F280" s="171"/>
      <c r="G280" s="179">
        <f>SUM(G278:G279)</f>
        <v>45780</v>
      </c>
    </row>
    <row r="281" spans="2:7">
      <c r="B281" s="167" t="s">
        <v>16</v>
      </c>
      <c r="C281" s="172"/>
      <c r="D281" s="172"/>
      <c r="E281" s="173"/>
      <c r="F281" s="174"/>
      <c r="G281" s="172"/>
    </row>
    <row r="282" spans="2:7" ht="14.25">
      <c r="B282" s="175" t="s">
        <v>17</v>
      </c>
      <c r="C282" s="175" t="s">
        <v>18</v>
      </c>
      <c r="D282" s="175" t="s">
        <v>19</v>
      </c>
      <c r="E282" s="176" t="s">
        <v>444</v>
      </c>
      <c r="F282" s="174" t="s">
        <v>20</v>
      </c>
      <c r="G282" s="175" t="s">
        <v>12</v>
      </c>
    </row>
    <row r="283" spans="2:7">
      <c r="B283" s="172" t="s">
        <v>21</v>
      </c>
      <c r="C283" s="175">
        <v>4.5000000000000003E-5</v>
      </c>
      <c r="D283" s="175">
        <v>1</v>
      </c>
      <c r="E283" s="181">
        <v>4500</v>
      </c>
      <c r="F283" s="177">
        <f>C283*D283*E283</f>
        <v>0.20250000000000001</v>
      </c>
      <c r="G283" s="173">
        <f>F283*E283</f>
        <v>911.25000000000011</v>
      </c>
    </row>
    <row r="284" spans="2:7">
      <c r="B284" s="172"/>
      <c r="C284" s="172"/>
      <c r="D284" s="172"/>
      <c r="E284" s="173"/>
      <c r="F284" s="174"/>
      <c r="G284" s="172"/>
    </row>
    <row r="285" spans="2:7">
      <c r="B285" s="169"/>
      <c r="C285" s="169"/>
      <c r="D285" s="169"/>
      <c r="E285" s="178"/>
      <c r="F285" s="171"/>
      <c r="G285" s="179">
        <f>SUM(G283:G284)</f>
        <v>911.25000000000011</v>
      </c>
    </row>
    <row r="286" spans="2:7">
      <c r="B286" s="167" t="s">
        <v>22</v>
      </c>
      <c r="C286" s="172"/>
      <c r="D286" s="172"/>
      <c r="E286" s="173"/>
      <c r="F286" s="174"/>
      <c r="G286" s="172"/>
    </row>
    <row r="287" spans="2:7">
      <c r="B287" s="175" t="s">
        <v>23</v>
      </c>
      <c r="C287" s="175" t="s">
        <v>24</v>
      </c>
      <c r="D287" s="175" t="s">
        <v>25</v>
      </c>
      <c r="E287" s="182" t="s">
        <v>26</v>
      </c>
      <c r="F287" s="174" t="s">
        <v>11</v>
      </c>
      <c r="G287" s="175" t="s">
        <v>12</v>
      </c>
    </row>
    <row r="288" spans="2:7">
      <c r="B288" s="183" t="s">
        <v>47</v>
      </c>
      <c r="C288" s="173">
        <f>VLOOKUP(B288,Jornal,2,FALSE)</f>
        <v>156000</v>
      </c>
      <c r="D288" s="175">
        <v>1.73</v>
      </c>
      <c r="E288" s="184">
        <f>D288*C288</f>
        <v>269880</v>
      </c>
      <c r="F288" s="177">
        <v>0.02</v>
      </c>
      <c r="G288" s="173">
        <f>F288*E288</f>
        <v>5397.6</v>
      </c>
    </row>
    <row r="289" spans="2:7">
      <c r="B289" s="183"/>
      <c r="C289" s="173"/>
      <c r="D289" s="175"/>
      <c r="E289" s="184"/>
      <c r="F289" s="177"/>
      <c r="G289" s="173">
        <f>F289*E289</f>
        <v>0</v>
      </c>
    </row>
    <row r="290" spans="2:7">
      <c r="B290" s="183"/>
      <c r="C290" s="173"/>
      <c r="D290" s="172"/>
      <c r="E290" s="173"/>
      <c r="F290" s="177"/>
      <c r="G290" s="173"/>
    </row>
    <row r="291" spans="2:7">
      <c r="B291" s="169"/>
      <c r="C291" s="169"/>
      <c r="D291" s="169"/>
      <c r="E291" s="178"/>
      <c r="F291" s="171"/>
      <c r="G291" s="180">
        <f>SUM(G288:G290)</f>
        <v>5397.6</v>
      </c>
    </row>
    <row r="292" spans="2:7">
      <c r="B292" s="169"/>
      <c r="C292" s="169"/>
      <c r="D292" s="169"/>
      <c r="E292" s="178"/>
      <c r="F292" s="171"/>
      <c r="G292" s="169"/>
    </row>
    <row r="293" spans="2:7">
      <c r="B293" s="169"/>
      <c r="C293" s="169"/>
      <c r="D293" s="169"/>
      <c r="E293" s="243" t="s">
        <v>27</v>
      </c>
      <c r="F293" s="243"/>
      <c r="G293" s="187">
        <f>+G291+G285+G280+G275</f>
        <v>52628.61</v>
      </c>
    </row>
    <row r="295" spans="2:7">
      <c r="B295" s="188"/>
      <c r="C295" s="189"/>
      <c r="D295" s="190"/>
      <c r="E295" s="191"/>
      <c r="F295" s="192"/>
      <c r="G295" s="189"/>
    </row>
    <row r="297" spans="2:7" ht="34.15" customHeight="1">
      <c r="B297" s="239" t="s">
        <v>440</v>
      </c>
      <c r="C297" s="239"/>
      <c r="D297" s="239"/>
      <c r="E297" s="239"/>
      <c r="F297" s="239"/>
      <c r="G297" s="239"/>
    </row>
    <row r="298" spans="2:7" ht="34.15" customHeight="1">
      <c r="B298" s="239" t="s">
        <v>441</v>
      </c>
      <c r="C298" s="239"/>
      <c r="D298" s="239"/>
      <c r="E298" s="239"/>
      <c r="F298" s="239"/>
      <c r="G298" s="239"/>
    </row>
    <row r="299" spans="2:7">
      <c r="B299" s="245"/>
      <c r="C299" s="245"/>
      <c r="D299" s="245"/>
      <c r="E299" s="245"/>
      <c r="F299" s="245"/>
      <c r="G299" s="245"/>
    </row>
    <row r="300" spans="2:7">
      <c r="B300" s="239" t="s">
        <v>4</v>
      </c>
      <c r="C300" s="239"/>
      <c r="D300" s="239"/>
      <c r="E300" s="239"/>
      <c r="F300" s="239"/>
      <c r="G300" s="239"/>
    </row>
    <row r="301" spans="2:7">
      <c r="B301" s="244"/>
      <c r="C301" s="244"/>
      <c r="D301" s="245"/>
      <c r="E301" s="245"/>
      <c r="F301" s="245"/>
      <c r="G301" s="245"/>
    </row>
    <row r="302" spans="2:7" ht="27" customHeight="1">
      <c r="B302" s="166" t="s">
        <v>5</v>
      </c>
      <c r="C302" s="240" t="s">
        <v>505</v>
      </c>
      <c r="D302" s="240"/>
      <c r="E302" s="240"/>
      <c r="F302" s="240"/>
      <c r="G302" s="240"/>
    </row>
    <row r="303" spans="2:7">
      <c r="B303" s="164" t="s">
        <v>7</v>
      </c>
      <c r="C303" s="248" t="s">
        <v>6</v>
      </c>
      <c r="D303" s="249"/>
      <c r="E303" s="249"/>
      <c r="F303" s="164" t="s">
        <v>8</v>
      </c>
      <c r="G303" s="164" t="s">
        <v>445</v>
      </c>
    </row>
    <row r="304" spans="2:7" ht="55.15" customHeight="1">
      <c r="B304" s="214" t="s">
        <v>458</v>
      </c>
      <c r="C304" s="250" t="s">
        <v>501</v>
      </c>
      <c r="D304" s="251"/>
      <c r="E304" s="251"/>
      <c r="F304" s="212" t="s">
        <v>38</v>
      </c>
      <c r="G304" s="213">
        <f>G334</f>
        <v>41600.733333333337</v>
      </c>
    </row>
    <row r="305" spans="2:7">
      <c r="B305" s="168"/>
      <c r="C305" s="169"/>
      <c r="D305" s="168"/>
      <c r="E305" s="170"/>
      <c r="F305" s="171"/>
      <c r="G305" s="169"/>
    </row>
    <row r="306" spans="2:7">
      <c r="B306" s="167" t="s">
        <v>9</v>
      </c>
      <c r="C306" s="172"/>
      <c r="D306" s="172"/>
      <c r="E306" s="173"/>
      <c r="F306" s="174"/>
      <c r="G306" s="172"/>
    </row>
    <row r="307" spans="2:7">
      <c r="B307" s="241" t="s">
        <v>0</v>
      </c>
      <c r="C307" s="241"/>
      <c r="D307" s="175" t="s">
        <v>1</v>
      </c>
      <c r="E307" s="176" t="s">
        <v>10</v>
      </c>
      <c r="F307" s="174" t="s">
        <v>11</v>
      </c>
      <c r="G307" s="175" t="s">
        <v>12</v>
      </c>
    </row>
    <row r="308" spans="2:7">
      <c r="B308" s="242" t="s">
        <v>62</v>
      </c>
      <c r="C308" s="242"/>
      <c r="D308" s="175" t="s">
        <v>13</v>
      </c>
      <c r="E308" s="173">
        <f>G332*0.1</f>
        <v>1349.4</v>
      </c>
      <c r="F308" s="177">
        <v>1</v>
      </c>
      <c r="G308" s="173">
        <f>F308*E308</f>
        <v>1349.4</v>
      </c>
    </row>
    <row r="309" spans="2:7">
      <c r="B309" s="242" t="s">
        <v>502</v>
      </c>
      <c r="C309" s="242"/>
      <c r="D309" s="175" t="s">
        <v>454</v>
      </c>
      <c r="E309" s="173">
        <v>4200</v>
      </c>
      <c r="F309" s="177">
        <v>0.6</v>
      </c>
      <c r="G309" s="173">
        <f>F309*E309</f>
        <v>2520</v>
      </c>
    </row>
    <row r="310" spans="2:7">
      <c r="B310" s="169"/>
      <c r="C310" s="169"/>
      <c r="D310" s="169"/>
      <c r="E310" s="178"/>
      <c r="F310" s="171"/>
      <c r="G310" s="179">
        <f>SUM(G308:G309)</f>
        <v>3869.4</v>
      </c>
    </row>
    <row r="311" spans="2:7">
      <c r="B311" s="167" t="s">
        <v>14</v>
      </c>
      <c r="C311" s="172"/>
      <c r="D311" s="172"/>
      <c r="E311" s="173"/>
      <c r="F311" s="174"/>
      <c r="G311" s="172"/>
    </row>
    <row r="312" spans="2:7">
      <c r="B312" s="241" t="s">
        <v>0</v>
      </c>
      <c r="C312" s="241"/>
      <c r="D312" s="175" t="s">
        <v>1</v>
      </c>
      <c r="E312" s="176" t="s">
        <v>10</v>
      </c>
      <c r="F312" s="174" t="s">
        <v>15</v>
      </c>
      <c r="G312" s="175" t="s">
        <v>12</v>
      </c>
    </row>
    <row r="313" spans="2:7">
      <c r="B313" s="242" t="s">
        <v>263</v>
      </c>
      <c r="C313" s="242"/>
      <c r="D313" s="175" t="str">
        <f t="shared" ref="D313:D320" si="11">IF(B313="","",VLOOKUP(B313,mat,2,FALSE))</f>
        <v>un</v>
      </c>
      <c r="E313" s="193">
        <f t="shared" ref="E313:E320" si="12">IF(B313="","0",VLOOKUP(B313,mat,3,FALSE))</f>
        <v>17550</v>
      </c>
      <c r="F313" s="177">
        <v>0.03</v>
      </c>
      <c r="G313" s="180">
        <f>F313*E313</f>
        <v>526.5</v>
      </c>
    </row>
    <row r="314" spans="2:7">
      <c r="B314" s="242" t="s">
        <v>262</v>
      </c>
      <c r="C314" s="242"/>
      <c r="D314" s="175" t="str">
        <f t="shared" si="11"/>
        <v>un</v>
      </c>
      <c r="E314" s="193">
        <f t="shared" si="12"/>
        <v>1220</v>
      </c>
      <c r="F314" s="177">
        <v>0.5</v>
      </c>
      <c r="G314" s="180">
        <f>F314*E314</f>
        <v>610</v>
      </c>
    </row>
    <row r="315" spans="2:7">
      <c r="B315" s="242" t="s">
        <v>259</v>
      </c>
      <c r="C315" s="242"/>
      <c r="D315" s="175" t="str">
        <f t="shared" si="11"/>
        <v>un</v>
      </c>
      <c r="E315" s="193">
        <f t="shared" si="12"/>
        <v>30220</v>
      </c>
      <c r="F315" s="177">
        <v>0.15</v>
      </c>
      <c r="G315" s="180">
        <f t="shared" ref="G315:G316" si="13">F315*E315</f>
        <v>4533</v>
      </c>
    </row>
    <row r="316" spans="2:7">
      <c r="B316" s="242" t="s">
        <v>261</v>
      </c>
      <c r="C316" s="242"/>
      <c r="D316" s="175" t="str">
        <f t="shared" si="11"/>
        <v>m</v>
      </c>
      <c r="E316" s="193">
        <f t="shared" si="12"/>
        <v>2740</v>
      </c>
      <c r="F316" s="177">
        <v>3</v>
      </c>
      <c r="G316" s="180">
        <f t="shared" si="13"/>
        <v>8220</v>
      </c>
    </row>
    <row r="317" spans="2:7">
      <c r="B317" s="242" t="s">
        <v>250</v>
      </c>
      <c r="C317" s="242"/>
      <c r="D317" s="175" t="str">
        <f t="shared" si="11"/>
        <v>un</v>
      </c>
      <c r="E317" s="193">
        <f t="shared" si="12"/>
        <v>2120</v>
      </c>
      <c r="F317" s="177">
        <f>1/6</f>
        <v>0.16666666666666666</v>
      </c>
      <c r="G317" s="180">
        <f t="shared" ref="G317" si="14">F317*E317</f>
        <v>353.33333333333331</v>
      </c>
    </row>
    <row r="318" spans="2:7">
      <c r="B318" s="242" t="s">
        <v>249</v>
      </c>
      <c r="C318" s="242"/>
      <c r="D318" s="175" t="str">
        <f t="shared" si="11"/>
        <v>un</v>
      </c>
      <c r="E318" s="193">
        <f t="shared" si="12"/>
        <v>7120</v>
      </c>
      <c r="F318" s="177">
        <v>0.1</v>
      </c>
      <c r="G318" s="180">
        <f t="shared" ref="G318" si="15">F318*E318</f>
        <v>712</v>
      </c>
    </row>
    <row r="319" spans="2:7">
      <c r="B319" s="242" t="s">
        <v>248</v>
      </c>
      <c r="C319" s="242"/>
      <c r="D319" s="175" t="str">
        <f t="shared" si="11"/>
        <v>ml</v>
      </c>
      <c r="E319" s="193">
        <f t="shared" si="12"/>
        <v>7560</v>
      </c>
      <c r="F319" s="177">
        <v>1</v>
      </c>
      <c r="G319" s="180">
        <f>F319*E319</f>
        <v>7560</v>
      </c>
    </row>
    <row r="320" spans="2:7">
      <c r="B320" s="242" t="s">
        <v>223</v>
      </c>
      <c r="C320" s="242"/>
      <c r="D320" s="175" t="str">
        <f t="shared" si="11"/>
        <v>kg</v>
      </c>
      <c r="E320" s="193">
        <f t="shared" si="12"/>
        <v>7100</v>
      </c>
      <c r="F320" s="177">
        <v>0.1</v>
      </c>
      <c r="G320" s="180">
        <f t="shared" ref="G320" si="16">F320*E320</f>
        <v>710</v>
      </c>
    </row>
    <row r="321" spans="2:7">
      <c r="B321" s="169"/>
      <c r="C321" s="169"/>
      <c r="D321" s="169"/>
      <c r="E321" s="178"/>
      <c r="F321" s="171"/>
      <c r="G321" s="179">
        <f>SUM(G313:G320)</f>
        <v>23224.833333333336</v>
      </c>
    </row>
    <row r="322" spans="2:7">
      <c r="B322" s="167" t="s">
        <v>16</v>
      </c>
      <c r="C322" s="172"/>
      <c r="D322" s="172"/>
      <c r="E322" s="173"/>
      <c r="F322" s="174"/>
      <c r="G322" s="172"/>
    </row>
    <row r="323" spans="2:7" ht="14.25">
      <c r="B323" s="175" t="s">
        <v>17</v>
      </c>
      <c r="C323" s="175" t="s">
        <v>18</v>
      </c>
      <c r="D323" s="175" t="s">
        <v>19</v>
      </c>
      <c r="E323" s="176" t="s">
        <v>444</v>
      </c>
      <c r="F323" s="174" t="s">
        <v>20</v>
      </c>
      <c r="G323" s="175" t="s">
        <v>12</v>
      </c>
    </row>
    <row r="324" spans="2:7">
      <c r="B324" s="172" t="s">
        <v>21</v>
      </c>
      <c r="C324" s="175">
        <v>5.0000000000000002E-5</v>
      </c>
      <c r="D324" s="175">
        <v>1</v>
      </c>
      <c r="E324" s="181">
        <v>4500</v>
      </c>
      <c r="F324" s="177">
        <f>C324*D324*E324</f>
        <v>0.22500000000000001</v>
      </c>
      <c r="G324" s="173">
        <f>F324*E324</f>
        <v>1012.5</v>
      </c>
    </row>
    <row r="325" spans="2:7">
      <c r="B325" s="172"/>
      <c r="C325" s="172"/>
      <c r="D325" s="172"/>
      <c r="E325" s="173"/>
      <c r="F325" s="174"/>
      <c r="G325" s="172"/>
    </row>
    <row r="326" spans="2:7">
      <c r="B326" s="169"/>
      <c r="C326" s="169"/>
      <c r="D326" s="169"/>
      <c r="E326" s="178"/>
      <c r="F326" s="171"/>
      <c r="G326" s="179">
        <f>SUM(G324:G325)</f>
        <v>1012.5</v>
      </c>
    </row>
    <row r="327" spans="2:7">
      <c r="B327" s="167" t="s">
        <v>22</v>
      </c>
      <c r="C327" s="172"/>
      <c r="D327" s="172"/>
      <c r="E327" s="173"/>
      <c r="F327" s="174"/>
      <c r="G327" s="172"/>
    </row>
    <row r="328" spans="2:7">
      <c r="B328" s="175" t="s">
        <v>23</v>
      </c>
      <c r="C328" s="175" t="s">
        <v>24</v>
      </c>
      <c r="D328" s="175" t="s">
        <v>25</v>
      </c>
      <c r="E328" s="182" t="s">
        <v>26</v>
      </c>
      <c r="F328" s="174" t="s">
        <v>11</v>
      </c>
      <c r="G328" s="175" t="s">
        <v>12</v>
      </c>
    </row>
    <row r="329" spans="2:7">
      <c r="B329" s="183" t="s">
        <v>47</v>
      </c>
      <c r="C329" s="173">
        <f>VLOOKUP(B329,Jornal,2,FALSE)</f>
        <v>156000</v>
      </c>
      <c r="D329" s="175">
        <v>1.73</v>
      </c>
      <c r="E329" s="184">
        <f>D329*C329</f>
        <v>269880</v>
      </c>
      <c r="F329" s="177">
        <v>0.05</v>
      </c>
      <c r="G329" s="173">
        <f>F329*E329</f>
        <v>13494</v>
      </c>
    </row>
    <row r="330" spans="2:7">
      <c r="B330" s="183"/>
      <c r="C330" s="173"/>
      <c r="D330" s="175"/>
      <c r="E330" s="184"/>
      <c r="F330" s="177"/>
      <c r="G330" s="173">
        <f>F330*E330</f>
        <v>0</v>
      </c>
    </row>
    <row r="331" spans="2:7">
      <c r="B331" s="183"/>
      <c r="C331" s="173"/>
      <c r="D331" s="172"/>
      <c r="E331" s="173"/>
      <c r="F331" s="177"/>
      <c r="G331" s="173"/>
    </row>
    <row r="332" spans="2:7">
      <c r="B332" s="169"/>
      <c r="C332" s="169"/>
      <c r="D332" s="169"/>
      <c r="E332" s="178"/>
      <c r="F332" s="171"/>
      <c r="G332" s="180">
        <f>SUM(G329:G331)</f>
        <v>13494</v>
      </c>
    </row>
    <row r="333" spans="2:7">
      <c r="B333" s="169"/>
      <c r="C333" s="169"/>
      <c r="D333" s="169"/>
      <c r="E333" s="178"/>
      <c r="F333" s="171"/>
      <c r="G333" s="169"/>
    </row>
    <row r="334" spans="2:7">
      <c r="B334" s="169"/>
      <c r="C334" s="169"/>
      <c r="D334" s="169"/>
      <c r="E334" s="243" t="s">
        <v>27</v>
      </c>
      <c r="F334" s="243"/>
      <c r="G334" s="187">
        <f>+G332+G326+G321+G310</f>
        <v>41600.733333333337</v>
      </c>
    </row>
    <row r="336" spans="2:7">
      <c r="B336" s="188"/>
      <c r="C336" s="189"/>
      <c r="D336" s="190"/>
      <c r="E336" s="191"/>
      <c r="F336" s="192"/>
      <c r="G336" s="189"/>
    </row>
    <row r="338" spans="2:7" ht="34.15" customHeight="1">
      <c r="B338" s="239" t="s">
        <v>440</v>
      </c>
      <c r="C338" s="239"/>
      <c r="D338" s="239"/>
      <c r="E338" s="239"/>
      <c r="F338" s="239"/>
      <c r="G338" s="239"/>
    </row>
    <row r="339" spans="2:7" ht="34.15" customHeight="1">
      <c r="B339" s="239" t="s">
        <v>441</v>
      </c>
      <c r="C339" s="239"/>
      <c r="D339" s="239"/>
      <c r="E339" s="239"/>
      <c r="F339" s="239"/>
      <c r="G339" s="239"/>
    </row>
    <row r="340" spans="2:7">
      <c r="B340" s="245"/>
      <c r="C340" s="245"/>
      <c r="D340" s="245"/>
      <c r="E340" s="245"/>
      <c r="F340" s="245"/>
      <c r="G340" s="245"/>
    </row>
    <row r="341" spans="2:7">
      <c r="B341" s="239" t="s">
        <v>4</v>
      </c>
      <c r="C341" s="239"/>
      <c r="D341" s="239"/>
      <c r="E341" s="239"/>
      <c r="F341" s="239"/>
      <c r="G341" s="239"/>
    </row>
    <row r="342" spans="2:7">
      <c r="B342" s="244"/>
      <c r="C342" s="244"/>
      <c r="D342" s="245"/>
      <c r="E342" s="245"/>
      <c r="F342" s="245"/>
      <c r="G342" s="245"/>
    </row>
    <row r="343" spans="2:7" ht="27" customHeight="1">
      <c r="B343" s="166" t="s">
        <v>5</v>
      </c>
      <c r="C343" s="240" t="s">
        <v>505</v>
      </c>
      <c r="D343" s="240"/>
      <c r="E343" s="240"/>
      <c r="F343" s="240"/>
      <c r="G343" s="240"/>
    </row>
    <row r="344" spans="2:7">
      <c r="B344" s="164" t="s">
        <v>7</v>
      </c>
      <c r="C344" s="248" t="s">
        <v>6</v>
      </c>
      <c r="D344" s="249"/>
      <c r="E344" s="249"/>
      <c r="F344" s="164" t="s">
        <v>8</v>
      </c>
      <c r="G344" s="164" t="s">
        <v>445</v>
      </c>
    </row>
    <row r="345" spans="2:7" ht="55.15" customHeight="1">
      <c r="B345" s="214" t="s">
        <v>460</v>
      </c>
      <c r="C345" s="250" t="s">
        <v>494</v>
      </c>
      <c r="D345" s="251"/>
      <c r="E345" s="251"/>
      <c r="F345" s="212" t="s">
        <v>39</v>
      </c>
      <c r="G345" s="213">
        <f>G375</f>
        <v>78556.800000000003</v>
      </c>
    </row>
    <row r="346" spans="2:7">
      <c r="B346" s="168"/>
      <c r="C346" s="169"/>
      <c r="D346" s="168"/>
      <c r="E346" s="170"/>
      <c r="F346" s="171"/>
      <c r="G346" s="169"/>
    </row>
    <row r="347" spans="2:7">
      <c r="B347" s="167" t="s">
        <v>9</v>
      </c>
      <c r="C347" s="172"/>
      <c r="D347" s="172"/>
      <c r="E347" s="173"/>
      <c r="F347" s="174"/>
      <c r="G347" s="172"/>
    </row>
    <row r="348" spans="2:7">
      <c r="B348" s="241" t="s">
        <v>0</v>
      </c>
      <c r="C348" s="241"/>
      <c r="D348" s="175" t="s">
        <v>1</v>
      </c>
      <c r="E348" s="176" t="s">
        <v>10</v>
      </c>
      <c r="F348" s="174" t="s">
        <v>11</v>
      </c>
      <c r="G348" s="175" t="s">
        <v>12</v>
      </c>
    </row>
    <row r="349" spans="2:7">
      <c r="B349" s="242" t="s">
        <v>62</v>
      </c>
      <c r="C349" s="242"/>
      <c r="D349" s="175" t="s">
        <v>13</v>
      </c>
      <c r="E349" s="173">
        <f>G373*0.1</f>
        <v>2698.8</v>
      </c>
      <c r="F349" s="177">
        <v>1</v>
      </c>
      <c r="G349" s="173">
        <f>F349*E349</f>
        <v>2698.8</v>
      </c>
    </row>
    <row r="350" spans="2:7">
      <c r="B350" s="242"/>
      <c r="C350" s="242"/>
      <c r="D350" s="175"/>
      <c r="E350" s="173"/>
      <c r="F350" s="177"/>
      <c r="G350" s="173"/>
    </row>
    <row r="351" spans="2:7">
      <c r="B351" s="169"/>
      <c r="C351" s="169"/>
      <c r="D351" s="169"/>
      <c r="E351" s="178"/>
      <c r="F351" s="171"/>
      <c r="G351" s="179">
        <f>SUM(G349:G350)</f>
        <v>2698.8</v>
      </c>
    </row>
    <row r="352" spans="2:7">
      <c r="B352" s="167" t="s">
        <v>14</v>
      </c>
      <c r="C352" s="172"/>
      <c r="D352" s="172"/>
      <c r="E352" s="173"/>
      <c r="F352" s="174"/>
      <c r="G352" s="172"/>
    </row>
    <row r="353" spans="2:7">
      <c r="B353" s="241" t="s">
        <v>0</v>
      </c>
      <c r="C353" s="241"/>
      <c r="D353" s="175" t="s">
        <v>1</v>
      </c>
      <c r="E353" s="176" t="s">
        <v>10</v>
      </c>
      <c r="F353" s="174" t="s">
        <v>15</v>
      </c>
      <c r="G353" s="175" t="s">
        <v>12</v>
      </c>
    </row>
    <row r="354" spans="2:7">
      <c r="B354" s="242" t="s">
        <v>277</v>
      </c>
      <c r="C354" s="242"/>
      <c r="D354" s="175" t="str">
        <f t="shared" ref="D354:D361" si="17">IF(B354="","",VLOOKUP(B354,mat,2,FALSE))</f>
        <v>un</v>
      </c>
      <c r="E354" s="193">
        <f t="shared" ref="E354:E361" si="18">IF(B354="","0",VLOOKUP(B354,mat,3,FALSE))</f>
        <v>19840</v>
      </c>
      <c r="F354" s="177">
        <v>1</v>
      </c>
      <c r="G354" s="180">
        <f>F354*E354</f>
        <v>19840</v>
      </c>
    </row>
    <row r="355" spans="2:7">
      <c r="B355" s="242" t="s">
        <v>262</v>
      </c>
      <c r="C355" s="242"/>
      <c r="D355" s="175" t="str">
        <f t="shared" si="17"/>
        <v>un</v>
      </c>
      <c r="E355" s="193">
        <f t="shared" si="18"/>
        <v>1220</v>
      </c>
      <c r="F355" s="177">
        <v>2</v>
      </c>
      <c r="G355" s="180">
        <f>F355*E355</f>
        <v>2440</v>
      </c>
    </row>
    <row r="356" spans="2:7">
      <c r="B356" s="242" t="s">
        <v>260</v>
      </c>
      <c r="C356" s="242"/>
      <c r="D356" s="175" t="str">
        <f t="shared" si="17"/>
        <v>un</v>
      </c>
      <c r="E356" s="193">
        <f t="shared" si="18"/>
        <v>3620</v>
      </c>
      <c r="F356" s="177">
        <v>1</v>
      </c>
      <c r="G356" s="180">
        <f t="shared" ref="G356:G359" si="19">F356*E356</f>
        <v>3620</v>
      </c>
    </row>
    <row r="357" spans="2:7">
      <c r="B357" s="242" t="s">
        <v>261</v>
      </c>
      <c r="C357" s="242"/>
      <c r="D357" s="175" t="str">
        <f t="shared" si="17"/>
        <v>m</v>
      </c>
      <c r="E357" s="193">
        <f t="shared" si="18"/>
        <v>2740</v>
      </c>
      <c r="F357" s="177">
        <v>6</v>
      </c>
      <c r="G357" s="180">
        <f t="shared" si="19"/>
        <v>16440</v>
      </c>
    </row>
    <row r="358" spans="2:7">
      <c r="B358" s="242" t="s">
        <v>255</v>
      </c>
      <c r="C358" s="242"/>
      <c r="D358" s="175" t="str">
        <f t="shared" si="17"/>
        <v>un</v>
      </c>
      <c r="E358" s="193">
        <f t="shared" si="18"/>
        <v>450</v>
      </c>
      <c r="F358" s="177">
        <v>2</v>
      </c>
      <c r="G358" s="180">
        <f t="shared" si="19"/>
        <v>900</v>
      </c>
    </row>
    <row r="359" spans="2:7">
      <c r="B359" s="242" t="s">
        <v>254</v>
      </c>
      <c r="C359" s="242"/>
      <c r="D359" s="175" t="str">
        <f t="shared" si="17"/>
        <v>un</v>
      </c>
      <c r="E359" s="193">
        <f t="shared" si="18"/>
        <v>750</v>
      </c>
      <c r="F359" s="177">
        <v>1</v>
      </c>
      <c r="G359" s="180">
        <f t="shared" si="19"/>
        <v>750</v>
      </c>
    </row>
    <row r="360" spans="2:7">
      <c r="B360" s="242" t="s">
        <v>253</v>
      </c>
      <c r="C360" s="242"/>
      <c r="D360" s="175" t="str">
        <f t="shared" si="17"/>
        <v>m</v>
      </c>
      <c r="E360" s="193">
        <f t="shared" si="18"/>
        <v>1630</v>
      </c>
      <c r="F360" s="177">
        <v>2</v>
      </c>
      <c r="G360" s="180">
        <f>F360*E360</f>
        <v>3260</v>
      </c>
    </row>
    <row r="361" spans="2:7">
      <c r="B361" s="242"/>
      <c r="C361" s="242"/>
      <c r="D361" s="175" t="str">
        <f t="shared" si="17"/>
        <v/>
      </c>
      <c r="E361" s="193" t="str">
        <f t="shared" si="18"/>
        <v>0</v>
      </c>
      <c r="F361" s="177"/>
      <c r="G361" s="180">
        <f t="shared" ref="G361" si="20">F361*E361</f>
        <v>0</v>
      </c>
    </row>
    <row r="362" spans="2:7">
      <c r="B362" s="169"/>
      <c r="C362" s="169"/>
      <c r="D362" s="169"/>
      <c r="E362" s="178"/>
      <c r="F362" s="171"/>
      <c r="G362" s="179">
        <f>SUM(G354:G361)</f>
        <v>47250</v>
      </c>
    </row>
    <row r="363" spans="2:7">
      <c r="B363" s="167" t="s">
        <v>16</v>
      </c>
      <c r="C363" s="172"/>
      <c r="D363" s="172"/>
      <c r="E363" s="173"/>
      <c r="F363" s="174"/>
      <c r="G363" s="172"/>
    </row>
    <row r="364" spans="2:7" ht="14.25">
      <c r="B364" s="175" t="s">
        <v>17</v>
      </c>
      <c r="C364" s="175" t="s">
        <v>18</v>
      </c>
      <c r="D364" s="175" t="s">
        <v>19</v>
      </c>
      <c r="E364" s="176" t="s">
        <v>444</v>
      </c>
      <c r="F364" s="174" t="s">
        <v>20</v>
      </c>
      <c r="G364" s="175" t="s">
        <v>12</v>
      </c>
    </row>
    <row r="365" spans="2:7">
      <c r="B365" s="172" t="s">
        <v>21</v>
      </c>
      <c r="C365" s="175">
        <v>8.0000000000000007E-5</v>
      </c>
      <c r="D365" s="175">
        <v>1</v>
      </c>
      <c r="E365" s="181">
        <v>4500</v>
      </c>
      <c r="F365" s="177">
        <f>C365*D365*E365</f>
        <v>0.36000000000000004</v>
      </c>
      <c r="G365" s="173">
        <f>F365*E365</f>
        <v>1620.0000000000002</v>
      </c>
    </row>
    <row r="366" spans="2:7">
      <c r="B366" s="172"/>
      <c r="C366" s="172"/>
      <c r="D366" s="172"/>
      <c r="E366" s="173"/>
      <c r="F366" s="174"/>
      <c r="G366" s="172"/>
    </row>
    <row r="367" spans="2:7">
      <c r="B367" s="169"/>
      <c r="C367" s="169"/>
      <c r="D367" s="169"/>
      <c r="E367" s="178"/>
      <c r="F367" s="171"/>
      <c r="G367" s="179">
        <f>SUM(G365:G366)</f>
        <v>1620.0000000000002</v>
      </c>
    </row>
    <row r="368" spans="2:7">
      <c r="B368" s="167" t="s">
        <v>22</v>
      </c>
      <c r="C368" s="172"/>
      <c r="D368" s="172"/>
      <c r="E368" s="173"/>
      <c r="F368" s="174"/>
      <c r="G368" s="172"/>
    </row>
    <row r="369" spans="2:7">
      <c r="B369" s="175" t="s">
        <v>23</v>
      </c>
      <c r="C369" s="175" t="s">
        <v>24</v>
      </c>
      <c r="D369" s="175" t="s">
        <v>25</v>
      </c>
      <c r="E369" s="182" t="s">
        <v>26</v>
      </c>
      <c r="F369" s="174" t="s">
        <v>11</v>
      </c>
      <c r="G369" s="175" t="s">
        <v>12</v>
      </c>
    </row>
    <row r="370" spans="2:7">
      <c r="B370" s="183" t="s">
        <v>47</v>
      </c>
      <c r="C370" s="173">
        <f>VLOOKUP(B370,Jornal,2,FALSE)</f>
        <v>156000</v>
      </c>
      <c r="D370" s="175">
        <v>1.73</v>
      </c>
      <c r="E370" s="184">
        <f>D370*C370</f>
        <v>269880</v>
      </c>
      <c r="F370" s="177">
        <v>0.1</v>
      </c>
      <c r="G370" s="173">
        <f>F370*E370</f>
        <v>26988</v>
      </c>
    </row>
    <row r="371" spans="2:7">
      <c r="B371" s="183"/>
      <c r="C371" s="173"/>
      <c r="D371" s="175"/>
      <c r="E371" s="184"/>
      <c r="F371" s="177"/>
      <c r="G371" s="173">
        <f>F371*E371</f>
        <v>0</v>
      </c>
    </row>
    <row r="372" spans="2:7">
      <c r="B372" s="183"/>
      <c r="C372" s="173"/>
      <c r="D372" s="172"/>
      <c r="E372" s="173"/>
      <c r="F372" s="177"/>
      <c r="G372" s="173"/>
    </row>
    <row r="373" spans="2:7">
      <c r="B373" s="169"/>
      <c r="C373" s="169"/>
      <c r="D373" s="169"/>
      <c r="E373" s="178"/>
      <c r="F373" s="171"/>
      <c r="G373" s="180">
        <f>SUM(G370:G372)</f>
        <v>26988</v>
      </c>
    </row>
    <row r="374" spans="2:7">
      <c r="B374" s="169"/>
      <c r="C374" s="169"/>
      <c r="D374" s="169"/>
      <c r="E374" s="178"/>
      <c r="F374" s="171"/>
      <c r="G374" s="169"/>
    </row>
    <row r="375" spans="2:7">
      <c r="B375" s="169"/>
      <c r="C375" s="169"/>
      <c r="D375" s="169"/>
      <c r="E375" s="243" t="s">
        <v>27</v>
      </c>
      <c r="F375" s="243"/>
      <c r="G375" s="187">
        <f>+G373+G367+G362+G351</f>
        <v>78556.800000000003</v>
      </c>
    </row>
    <row r="377" spans="2:7">
      <c r="B377" s="188"/>
      <c r="C377" s="189"/>
      <c r="D377" s="190"/>
      <c r="E377" s="191"/>
      <c r="F377" s="192"/>
      <c r="G377" s="189"/>
    </row>
    <row r="379" spans="2:7" ht="34.15" customHeight="1">
      <c r="B379" s="239" t="s">
        <v>440</v>
      </c>
      <c r="C379" s="239"/>
      <c r="D379" s="239"/>
      <c r="E379" s="239"/>
      <c r="F379" s="239"/>
      <c r="G379" s="239"/>
    </row>
    <row r="380" spans="2:7" ht="34.15" customHeight="1">
      <c r="B380" s="239" t="s">
        <v>441</v>
      </c>
      <c r="C380" s="239"/>
      <c r="D380" s="239"/>
      <c r="E380" s="239"/>
      <c r="F380" s="239"/>
      <c r="G380" s="239"/>
    </row>
    <row r="381" spans="2:7">
      <c r="B381" s="245"/>
      <c r="C381" s="245"/>
      <c r="D381" s="245"/>
      <c r="E381" s="245"/>
      <c r="F381" s="245"/>
      <c r="G381" s="245"/>
    </row>
    <row r="382" spans="2:7">
      <c r="B382" s="239" t="s">
        <v>4</v>
      </c>
      <c r="C382" s="239"/>
      <c r="D382" s="239"/>
      <c r="E382" s="239"/>
      <c r="F382" s="239"/>
      <c r="G382" s="239"/>
    </row>
    <row r="383" spans="2:7">
      <c r="B383" s="244"/>
      <c r="C383" s="244"/>
      <c r="D383" s="245"/>
      <c r="E383" s="245"/>
      <c r="F383" s="245"/>
      <c r="G383" s="245"/>
    </row>
    <row r="384" spans="2:7" ht="27" customHeight="1">
      <c r="B384" s="166" t="s">
        <v>5</v>
      </c>
      <c r="C384" s="240" t="s">
        <v>505</v>
      </c>
      <c r="D384" s="240"/>
      <c r="E384" s="240"/>
      <c r="F384" s="240"/>
      <c r="G384" s="240"/>
    </row>
    <row r="385" spans="2:7">
      <c r="B385" s="164" t="s">
        <v>7</v>
      </c>
      <c r="C385" s="248" t="s">
        <v>6</v>
      </c>
      <c r="D385" s="249"/>
      <c r="E385" s="249"/>
      <c r="F385" s="164" t="s">
        <v>8</v>
      </c>
      <c r="G385" s="164" t="s">
        <v>445</v>
      </c>
    </row>
    <row r="386" spans="2:7" ht="55.15" customHeight="1">
      <c r="B386" s="214" t="s">
        <v>461</v>
      </c>
      <c r="C386" s="250" t="s">
        <v>495</v>
      </c>
      <c r="D386" s="251"/>
      <c r="E386" s="251"/>
      <c r="F386" s="212" t="s">
        <v>39</v>
      </c>
      <c r="G386" s="213">
        <f>G417</f>
        <v>110540.2</v>
      </c>
    </row>
    <row r="387" spans="2:7">
      <c r="B387" s="168"/>
      <c r="C387" s="169"/>
      <c r="D387" s="168"/>
      <c r="E387" s="170"/>
      <c r="F387" s="171"/>
      <c r="G387" s="169"/>
    </row>
    <row r="388" spans="2:7">
      <c r="B388" s="167" t="s">
        <v>9</v>
      </c>
      <c r="C388" s="172"/>
      <c r="D388" s="172"/>
      <c r="E388" s="173"/>
      <c r="F388" s="174"/>
      <c r="G388" s="172"/>
    </row>
    <row r="389" spans="2:7">
      <c r="B389" s="241" t="s">
        <v>0</v>
      </c>
      <c r="C389" s="241"/>
      <c r="D389" s="175" t="s">
        <v>1</v>
      </c>
      <c r="E389" s="176" t="s">
        <v>10</v>
      </c>
      <c r="F389" s="174" t="s">
        <v>11</v>
      </c>
      <c r="G389" s="175" t="s">
        <v>12</v>
      </c>
    </row>
    <row r="390" spans="2:7">
      <c r="B390" s="242" t="s">
        <v>62</v>
      </c>
      <c r="C390" s="242"/>
      <c r="D390" s="175" t="s">
        <v>13</v>
      </c>
      <c r="E390" s="173">
        <f>G415*0.1</f>
        <v>4048.2000000000003</v>
      </c>
      <c r="F390" s="177">
        <v>1</v>
      </c>
      <c r="G390" s="173">
        <f>F390*E390</f>
        <v>4048.2000000000003</v>
      </c>
    </row>
    <row r="391" spans="2:7">
      <c r="B391" s="242" t="s">
        <v>507</v>
      </c>
      <c r="C391" s="242"/>
      <c r="D391" s="175" t="s">
        <v>452</v>
      </c>
      <c r="E391" s="173">
        <v>10500</v>
      </c>
      <c r="F391" s="177">
        <v>0.08</v>
      </c>
      <c r="G391" s="173">
        <f>F391*E391</f>
        <v>840</v>
      </c>
    </row>
    <row r="392" spans="2:7">
      <c r="B392" s="169"/>
      <c r="C392" s="169"/>
      <c r="D392" s="169"/>
      <c r="E392" s="178"/>
      <c r="F392" s="171"/>
      <c r="G392" s="179">
        <f>SUM(G390:G391)</f>
        <v>4888.2000000000007</v>
      </c>
    </row>
    <row r="393" spans="2:7">
      <c r="B393" s="167" t="s">
        <v>14</v>
      </c>
      <c r="C393" s="172"/>
      <c r="D393" s="172"/>
      <c r="E393" s="173"/>
      <c r="F393" s="174"/>
      <c r="G393" s="172"/>
    </row>
    <row r="394" spans="2:7">
      <c r="B394" s="241" t="s">
        <v>0</v>
      </c>
      <c r="C394" s="241"/>
      <c r="D394" s="175" t="s">
        <v>1</v>
      </c>
      <c r="E394" s="176" t="s">
        <v>10</v>
      </c>
      <c r="F394" s="174" t="s">
        <v>15</v>
      </c>
      <c r="G394" s="175" t="s">
        <v>12</v>
      </c>
    </row>
    <row r="395" spans="2:7">
      <c r="B395" s="242" t="s">
        <v>492</v>
      </c>
      <c r="C395" s="242"/>
      <c r="D395" s="175" t="str">
        <f t="shared" ref="D395:D403" si="21">IF(B395="","",VLOOKUP(B395,mat,2,FALSE))</f>
        <v>un</v>
      </c>
      <c r="E395" s="193">
        <f t="shared" ref="E395:E403" si="22">IF(B395="","0",VLOOKUP(B395,mat,3,FALSE))</f>
        <v>26900</v>
      </c>
      <c r="F395" s="177">
        <v>1</v>
      </c>
      <c r="G395" s="180">
        <f>F395*E395</f>
        <v>26900</v>
      </c>
    </row>
    <row r="396" spans="2:7">
      <c r="B396" s="242" t="s">
        <v>262</v>
      </c>
      <c r="C396" s="242"/>
      <c r="D396" s="175" t="str">
        <f t="shared" si="21"/>
        <v>un</v>
      </c>
      <c r="E396" s="193">
        <f t="shared" si="22"/>
        <v>1220</v>
      </c>
      <c r="F396" s="177">
        <v>2</v>
      </c>
      <c r="G396" s="180">
        <f>F396*E396</f>
        <v>2440</v>
      </c>
    </row>
    <row r="397" spans="2:7">
      <c r="B397" s="242" t="s">
        <v>260</v>
      </c>
      <c r="C397" s="242"/>
      <c r="D397" s="175" t="str">
        <f t="shared" si="21"/>
        <v>un</v>
      </c>
      <c r="E397" s="193">
        <f t="shared" si="22"/>
        <v>3620</v>
      </c>
      <c r="F397" s="177">
        <v>1</v>
      </c>
      <c r="G397" s="180">
        <f t="shared" ref="G397:G401" si="23">F397*E397</f>
        <v>3620</v>
      </c>
    </row>
    <row r="398" spans="2:7">
      <c r="B398" s="242" t="s">
        <v>261</v>
      </c>
      <c r="C398" s="242"/>
      <c r="D398" s="175" t="str">
        <f t="shared" si="21"/>
        <v>m</v>
      </c>
      <c r="E398" s="193">
        <f t="shared" si="22"/>
        <v>2740</v>
      </c>
      <c r="F398" s="177">
        <v>6</v>
      </c>
      <c r="G398" s="180">
        <f t="shared" si="23"/>
        <v>16440</v>
      </c>
    </row>
    <row r="399" spans="2:7">
      <c r="B399" s="242" t="s">
        <v>268</v>
      </c>
      <c r="C399" s="242"/>
      <c r="D399" s="175" t="str">
        <f t="shared" si="21"/>
        <v>m</v>
      </c>
      <c r="E399" s="193">
        <f t="shared" si="22"/>
        <v>9240</v>
      </c>
      <c r="F399" s="177">
        <v>1</v>
      </c>
      <c r="G399" s="180">
        <f t="shared" ref="G399" si="24">F399*E399</f>
        <v>9240</v>
      </c>
    </row>
    <row r="400" spans="2:7">
      <c r="B400" s="242" t="s">
        <v>255</v>
      </c>
      <c r="C400" s="242"/>
      <c r="D400" s="175" t="str">
        <f t="shared" si="21"/>
        <v>un</v>
      </c>
      <c r="E400" s="193">
        <f t="shared" si="22"/>
        <v>450</v>
      </c>
      <c r="F400" s="177">
        <v>2</v>
      </c>
      <c r="G400" s="180">
        <f t="shared" si="23"/>
        <v>900</v>
      </c>
    </row>
    <row r="401" spans="2:7">
      <c r="B401" s="242" t="s">
        <v>254</v>
      </c>
      <c r="C401" s="242"/>
      <c r="D401" s="175" t="str">
        <f t="shared" si="21"/>
        <v>un</v>
      </c>
      <c r="E401" s="193">
        <f t="shared" si="22"/>
        <v>750</v>
      </c>
      <c r="F401" s="177">
        <v>1</v>
      </c>
      <c r="G401" s="180">
        <f t="shared" si="23"/>
        <v>750</v>
      </c>
    </row>
    <row r="402" spans="2:7">
      <c r="B402" s="242" t="s">
        <v>253</v>
      </c>
      <c r="C402" s="242"/>
      <c r="D402" s="175" t="str">
        <f t="shared" si="21"/>
        <v>m</v>
      </c>
      <c r="E402" s="193">
        <f t="shared" si="22"/>
        <v>1630</v>
      </c>
      <c r="F402" s="177">
        <v>2</v>
      </c>
      <c r="G402" s="180">
        <f>F402*E402</f>
        <v>3260</v>
      </c>
    </row>
    <row r="403" spans="2:7">
      <c r="B403" s="242"/>
      <c r="C403" s="242"/>
      <c r="D403" s="175" t="str">
        <f t="shared" si="21"/>
        <v/>
      </c>
      <c r="E403" s="193" t="str">
        <f t="shared" si="22"/>
        <v>0</v>
      </c>
      <c r="F403" s="177"/>
      <c r="G403" s="180">
        <f t="shared" ref="G403" si="25">F403*E403</f>
        <v>0</v>
      </c>
    </row>
    <row r="404" spans="2:7">
      <c r="B404" s="169"/>
      <c r="C404" s="169"/>
      <c r="D404" s="169"/>
      <c r="E404" s="178"/>
      <c r="F404" s="171"/>
      <c r="G404" s="179">
        <f>SUM(G395:G403)</f>
        <v>63550</v>
      </c>
    </row>
    <row r="405" spans="2:7">
      <c r="B405" s="167" t="s">
        <v>16</v>
      </c>
      <c r="C405" s="172"/>
      <c r="D405" s="172"/>
      <c r="E405" s="173"/>
      <c r="F405" s="174"/>
      <c r="G405" s="172"/>
    </row>
    <row r="406" spans="2:7" ht="14.25">
      <c r="B406" s="175" t="s">
        <v>17</v>
      </c>
      <c r="C406" s="175" t="s">
        <v>18</v>
      </c>
      <c r="D406" s="175" t="s">
        <v>19</v>
      </c>
      <c r="E406" s="176" t="s">
        <v>444</v>
      </c>
      <c r="F406" s="174" t="s">
        <v>20</v>
      </c>
      <c r="G406" s="175" t="s">
        <v>12</v>
      </c>
    </row>
    <row r="407" spans="2:7">
      <c r="B407" s="172" t="s">
        <v>21</v>
      </c>
      <c r="C407" s="175">
        <v>8.0000000000000007E-5</v>
      </c>
      <c r="D407" s="175">
        <v>1</v>
      </c>
      <c r="E407" s="181">
        <v>4500</v>
      </c>
      <c r="F407" s="177">
        <f>C407*D407*E407</f>
        <v>0.36000000000000004</v>
      </c>
      <c r="G407" s="173">
        <f>F407*E407</f>
        <v>1620.0000000000002</v>
      </c>
    </row>
    <row r="408" spans="2:7">
      <c r="B408" s="172"/>
      <c r="C408" s="172"/>
      <c r="D408" s="172"/>
      <c r="E408" s="173"/>
      <c r="F408" s="174"/>
      <c r="G408" s="172"/>
    </row>
    <row r="409" spans="2:7">
      <c r="B409" s="169"/>
      <c r="C409" s="169"/>
      <c r="D409" s="169"/>
      <c r="E409" s="178"/>
      <c r="F409" s="171"/>
      <c r="G409" s="179">
        <f>SUM(G407:G408)</f>
        <v>1620.0000000000002</v>
      </c>
    </row>
    <row r="410" spans="2:7">
      <c r="B410" s="167" t="s">
        <v>22</v>
      </c>
      <c r="C410" s="172"/>
      <c r="D410" s="172"/>
      <c r="E410" s="173"/>
      <c r="F410" s="174"/>
      <c r="G410" s="172"/>
    </row>
    <row r="411" spans="2:7">
      <c r="B411" s="175" t="s">
        <v>23</v>
      </c>
      <c r="C411" s="175" t="s">
        <v>24</v>
      </c>
      <c r="D411" s="175" t="s">
        <v>25</v>
      </c>
      <c r="E411" s="182" t="s">
        <v>26</v>
      </c>
      <c r="F411" s="174" t="s">
        <v>11</v>
      </c>
      <c r="G411" s="175" t="s">
        <v>12</v>
      </c>
    </row>
    <row r="412" spans="2:7">
      <c r="B412" s="183" t="s">
        <v>47</v>
      </c>
      <c r="C412" s="173">
        <f>VLOOKUP(B412,Jornal,2,FALSE)</f>
        <v>156000</v>
      </c>
      <c r="D412" s="175">
        <v>1.73</v>
      </c>
      <c r="E412" s="184">
        <f>D412*C412</f>
        <v>269880</v>
      </c>
      <c r="F412" s="177">
        <v>0.15</v>
      </c>
      <c r="G412" s="173">
        <f>F412*E412</f>
        <v>40482</v>
      </c>
    </row>
    <row r="413" spans="2:7">
      <c r="B413" s="183"/>
      <c r="C413" s="173"/>
      <c r="D413" s="175"/>
      <c r="E413" s="184"/>
      <c r="F413" s="177"/>
      <c r="G413" s="173">
        <f>F413*E413</f>
        <v>0</v>
      </c>
    </row>
    <row r="414" spans="2:7">
      <c r="B414" s="183"/>
      <c r="C414" s="173"/>
      <c r="D414" s="172"/>
      <c r="E414" s="173"/>
      <c r="F414" s="177"/>
      <c r="G414" s="173"/>
    </row>
    <row r="415" spans="2:7">
      <c r="B415" s="169"/>
      <c r="C415" s="169"/>
      <c r="D415" s="169"/>
      <c r="E415" s="178"/>
      <c r="F415" s="171"/>
      <c r="G415" s="180">
        <f>SUM(G412:G414)</f>
        <v>40482</v>
      </c>
    </row>
    <row r="416" spans="2:7">
      <c r="B416" s="169"/>
      <c r="C416" s="169"/>
      <c r="D416" s="169"/>
      <c r="E416" s="178"/>
      <c r="F416" s="171"/>
      <c r="G416" s="169"/>
    </row>
    <row r="417" spans="2:7">
      <c r="B417" s="169"/>
      <c r="C417" s="169"/>
      <c r="D417" s="169"/>
      <c r="E417" s="243" t="s">
        <v>27</v>
      </c>
      <c r="F417" s="243"/>
      <c r="G417" s="187">
        <f>+G415+G409+G404+G392</f>
        <v>110540.2</v>
      </c>
    </row>
    <row r="419" spans="2:7">
      <c r="B419" s="188"/>
      <c r="C419" s="189"/>
      <c r="D419" s="190"/>
      <c r="E419" s="191"/>
      <c r="F419" s="192"/>
      <c r="G419" s="189"/>
    </row>
    <row r="421" spans="2:7" ht="34.15" customHeight="1">
      <c r="B421" s="239" t="s">
        <v>440</v>
      </c>
      <c r="C421" s="239"/>
      <c r="D421" s="239"/>
      <c r="E421" s="239"/>
      <c r="F421" s="239"/>
      <c r="G421" s="239"/>
    </row>
    <row r="422" spans="2:7" ht="34.15" customHeight="1">
      <c r="B422" s="239" t="s">
        <v>441</v>
      </c>
      <c r="C422" s="239"/>
      <c r="D422" s="239"/>
      <c r="E422" s="239"/>
      <c r="F422" s="239"/>
      <c r="G422" s="239"/>
    </row>
    <row r="423" spans="2:7">
      <c r="B423" s="245"/>
      <c r="C423" s="245"/>
      <c r="D423" s="245"/>
      <c r="E423" s="245"/>
      <c r="F423" s="245"/>
      <c r="G423" s="245"/>
    </row>
    <row r="424" spans="2:7">
      <c r="B424" s="239" t="s">
        <v>4</v>
      </c>
      <c r="C424" s="239"/>
      <c r="D424" s="239"/>
      <c r="E424" s="239"/>
      <c r="F424" s="239"/>
      <c r="G424" s="239"/>
    </row>
    <row r="425" spans="2:7">
      <c r="B425" s="244"/>
      <c r="C425" s="244"/>
      <c r="D425" s="245"/>
      <c r="E425" s="245"/>
      <c r="F425" s="245"/>
      <c r="G425" s="245"/>
    </row>
    <row r="426" spans="2:7" ht="27" customHeight="1">
      <c r="B426" s="166" t="s">
        <v>5</v>
      </c>
      <c r="C426" s="240" t="s">
        <v>505</v>
      </c>
      <c r="D426" s="240"/>
      <c r="E426" s="240"/>
      <c r="F426" s="240"/>
      <c r="G426" s="240"/>
    </row>
    <row r="427" spans="2:7">
      <c r="B427" s="164" t="s">
        <v>7</v>
      </c>
      <c r="C427" s="248" t="s">
        <v>6</v>
      </c>
      <c r="D427" s="249"/>
      <c r="E427" s="249"/>
      <c r="F427" s="164" t="s">
        <v>8</v>
      </c>
      <c r="G427" s="164" t="s">
        <v>445</v>
      </c>
    </row>
    <row r="428" spans="2:7" ht="55.15" customHeight="1">
      <c r="B428" s="214" t="s">
        <v>462</v>
      </c>
      <c r="C428" s="250" t="s">
        <v>510</v>
      </c>
      <c r="D428" s="251"/>
      <c r="E428" s="251"/>
      <c r="F428" s="212" t="s">
        <v>39</v>
      </c>
      <c r="G428" s="213">
        <f>G459</f>
        <v>274185.2</v>
      </c>
    </row>
    <row r="429" spans="2:7">
      <c r="B429" s="168"/>
      <c r="C429" s="169"/>
      <c r="D429" s="168"/>
      <c r="E429" s="170"/>
      <c r="F429" s="171"/>
      <c r="G429" s="169"/>
    </row>
    <row r="430" spans="2:7">
      <c r="B430" s="167" t="s">
        <v>9</v>
      </c>
      <c r="C430" s="172"/>
      <c r="D430" s="172"/>
      <c r="E430" s="173"/>
      <c r="F430" s="174"/>
      <c r="G430" s="172"/>
    </row>
    <row r="431" spans="2:7">
      <c r="B431" s="241" t="s">
        <v>0</v>
      </c>
      <c r="C431" s="241"/>
      <c r="D431" s="175" t="s">
        <v>1</v>
      </c>
      <c r="E431" s="176" t="s">
        <v>10</v>
      </c>
      <c r="F431" s="174" t="s">
        <v>11</v>
      </c>
      <c r="G431" s="175" t="s">
        <v>12</v>
      </c>
    </row>
    <row r="432" spans="2:7">
      <c r="B432" s="242" t="s">
        <v>62</v>
      </c>
      <c r="C432" s="242"/>
      <c r="D432" s="175" t="s">
        <v>13</v>
      </c>
      <c r="E432" s="173">
        <f>G457*0.1</f>
        <v>4048.2000000000003</v>
      </c>
      <c r="F432" s="177">
        <v>1</v>
      </c>
      <c r="G432" s="173">
        <f>F432*E432</f>
        <v>4048.2000000000003</v>
      </c>
    </row>
    <row r="433" spans="2:7">
      <c r="B433" s="242" t="s">
        <v>502</v>
      </c>
      <c r="C433" s="242"/>
      <c r="D433" s="175" t="s">
        <v>454</v>
      </c>
      <c r="E433" s="173">
        <f>4200*4</f>
        <v>16800</v>
      </c>
      <c r="F433" s="177">
        <v>0.6</v>
      </c>
      <c r="G433" s="173">
        <f>F433*E433</f>
        <v>10080</v>
      </c>
    </row>
    <row r="434" spans="2:7">
      <c r="B434" s="169"/>
      <c r="C434" s="169"/>
      <c r="D434" s="169"/>
      <c r="E434" s="178"/>
      <c r="F434" s="171"/>
      <c r="G434" s="179">
        <f>SUM(G432:G433)</f>
        <v>14128.2</v>
      </c>
    </row>
    <row r="435" spans="2:7">
      <c r="B435" s="167" t="s">
        <v>14</v>
      </c>
      <c r="C435" s="172"/>
      <c r="D435" s="172"/>
      <c r="E435" s="173"/>
      <c r="F435" s="174"/>
      <c r="G435" s="172"/>
    </row>
    <row r="436" spans="2:7">
      <c r="B436" s="241" t="s">
        <v>0</v>
      </c>
      <c r="C436" s="241"/>
      <c r="D436" s="175" t="s">
        <v>1</v>
      </c>
      <c r="E436" s="176" t="s">
        <v>10</v>
      </c>
      <c r="F436" s="174" t="s">
        <v>15</v>
      </c>
      <c r="G436" s="175" t="s">
        <v>12</v>
      </c>
    </row>
    <row r="437" spans="2:7">
      <c r="B437" s="242" t="s">
        <v>511</v>
      </c>
      <c r="C437" s="242"/>
      <c r="D437" s="175" t="str">
        <f t="shared" ref="D437:D445" si="26">IF(B437="","",VLOOKUP(B437,mat,2,FALSE))</f>
        <v>un</v>
      </c>
      <c r="E437" s="193">
        <f t="shared" ref="E437:E445" si="27">IF(B437="","0",VLOOKUP(B437,mat,3,FALSE))</f>
        <v>180900</v>
      </c>
      <c r="F437" s="177">
        <v>1</v>
      </c>
      <c r="G437" s="180">
        <f>F437*E437</f>
        <v>180900</v>
      </c>
    </row>
    <row r="438" spans="2:7">
      <c r="B438" s="242" t="s">
        <v>262</v>
      </c>
      <c r="C438" s="242"/>
      <c r="D438" s="175" t="str">
        <f t="shared" si="26"/>
        <v>un</v>
      </c>
      <c r="E438" s="193">
        <f t="shared" si="27"/>
        <v>1220</v>
      </c>
      <c r="F438" s="177">
        <v>2</v>
      </c>
      <c r="G438" s="180">
        <f>F438*E438</f>
        <v>2440</v>
      </c>
    </row>
    <row r="439" spans="2:7">
      <c r="B439" s="242" t="s">
        <v>260</v>
      </c>
      <c r="C439" s="242"/>
      <c r="D439" s="175" t="str">
        <f t="shared" si="26"/>
        <v>un</v>
      </c>
      <c r="E439" s="193">
        <f t="shared" si="27"/>
        <v>3620</v>
      </c>
      <c r="F439" s="177">
        <v>1</v>
      </c>
      <c r="G439" s="180">
        <f t="shared" ref="G439:G443" si="28">F439*E439</f>
        <v>3620</v>
      </c>
    </row>
    <row r="440" spans="2:7">
      <c r="B440" s="242" t="s">
        <v>261</v>
      </c>
      <c r="C440" s="242"/>
      <c r="D440" s="175" t="str">
        <f t="shared" si="26"/>
        <v>m</v>
      </c>
      <c r="E440" s="193">
        <f t="shared" si="27"/>
        <v>2740</v>
      </c>
      <c r="F440" s="177">
        <v>6</v>
      </c>
      <c r="G440" s="180">
        <f t="shared" si="28"/>
        <v>16440</v>
      </c>
    </row>
    <row r="441" spans="2:7">
      <c r="B441" s="242" t="s">
        <v>268</v>
      </c>
      <c r="C441" s="242"/>
      <c r="D441" s="175" t="str">
        <f t="shared" si="26"/>
        <v>m</v>
      </c>
      <c r="E441" s="193">
        <f t="shared" si="27"/>
        <v>9240</v>
      </c>
      <c r="F441" s="177">
        <v>1</v>
      </c>
      <c r="G441" s="180">
        <f t="shared" si="28"/>
        <v>9240</v>
      </c>
    </row>
    <row r="442" spans="2:7">
      <c r="B442" s="242" t="s">
        <v>255</v>
      </c>
      <c r="C442" s="242"/>
      <c r="D442" s="175" t="str">
        <f t="shared" si="26"/>
        <v>un</v>
      </c>
      <c r="E442" s="193">
        <f t="shared" si="27"/>
        <v>450</v>
      </c>
      <c r="F442" s="177">
        <v>2</v>
      </c>
      <c r="G442" s="180">
        <f t="shared" si="28"/>
        <v>900</v>
      </c>
    </row>
    <row r="443" spans="2:7">
      <c r="B443" s="242" t="s">
        <v>254</v>
      </c>
      <c r="C443" s="242"/>
      <c r="D443" s="175" t="str">
        <f t="shared" si="26"/>
        <v>un</v>
      </c>
      <c r="E443" s="193">
        <f t="shared" si="27"/>
        <v>750</v>
      </c>
      <c r="F443" s="177">
        <v>1</v>
      </c>
      <c r="G443" s="180">
        <f t="shared" si="28"/>
        <v>750</v>
      </c>
    </row>
    <row r="444" spans="2:7">
      <c r="B444" s="242" t="s">
        <v>253</v>
      </c>
      <c r="C444" s="242"/>
      <c r="D444" s="175" t="str">
        <f t="shared" si="26"/>
        <v>m</v>
      </c>
      <c r="E444" s="193">
        <f t="shared" si="27"/>
        <v>1630</v>
      </c>
      <c r="F444" s="177">
        <v>2</v>
      </c>
      <c r="G444" s="180">
        <f>F444*E444</f>
        <v>3260</v>
      </c>
    </row>
    <row r="445" spans="2:7">
      <c r="B445" s="242"/>
      <c r="C445" s="242"/>
      <c r="D445" s="175" t="str">
        <f t="shared" si="26"/>
        <v/>
      </c>
      <c r="E445" s="193" t="str">
        <f t="shared" si="27"/>
        <v>0</v>
      </c>
      <c r="F445" s="177"/>
      <c r="G445" s="180">
        <f t="shared" ref="G445" si="29">F445*E445</f>
        <v>0</v>
      </c>
    </row>
    <row r="446" spans="2:7">
      <c r="B446" s="169"/>
      <c r="C446" s="169"/>
      <c r="D446" s="169"/>
      <c r="E446" s="178"/>
      <c r="F446" s="171"/>
      <c r="G446" s="179">
        <f>SUM(G437:G445)</f>
        <v>217550</v>
      </c>
    </row>
    <row r="447" spans="2:7">
      <c r="B447" s="167" t="s">
        <v>16</v>
      </c>
      <c r="C447" s="172"/>
      <c r="D447" s="172"/>
      <c r="E447" s="173"/>
      <c r="F447" s="174"/>
      <c r="G447" s="172"/>
    </row>
    <row r="448" spans="2:7" ht="14.25">
      <c r="B448" s="175" t="s">
        <v>17</v>
      </c>
      <c r="C448" s="175" t="s">
        <v>18</v>
      </c>
      <c r="D448" s="175" t="s">
        <v>19</v>
      </c>
      <c r="E448" s="176" t="s">
        <v>444</v>
      </c>
      <c r="F448" s="174" t="s">
        <v>20</v>
      </c>
      <c r="G448" s="175" t="s">
        <v>12</v>
      </c>
    </row>
    <row r="449" spans="2:7">
      <c r="B449" s="172" t="s">
        <v>21</v>
      </c>
      <c r="C449" s="175">
        <v>1E-4</v>
      </c>
      <c r="D449" s="175">
        <v>1</v>
      </c>
      <c r="E449" s="181">
        <v>4500</v>
      </c>
      <c r="F449" s="177">
        <f>C449*D449*E449</f>
        <v>0.45</v>
      </c>
      <c r="G449" s="173">
        <f>F449*E449</f>
        <v>2025</v>
      </c>
    </row>
    <row r="450" spans="2:7">
      <c r="B450" s="172"/>
      <c r="C450" s="172"/>
      <c r="D450" s="172"/>
      <c r="E450" s="173"/>
      <c r="F450" s="174"/>
      <c r="G450" s="172"/>
    </row>
    <row r="451" spans="2:7">
      <c r="B451" s="169"/>
      <c r="C451" s="169"/>
      <c r="D451" s="169"/>
      <c r="E451" s="178"/>
      <c r="F451" s="171"/>
      <c r="G451" s="179">
        <f>SUM(G449:G450)</f>
        <v>2025</v>
      </c>
    </row>
    <row r="452" spans="2:7">
      <c r="B452" s="167" t="s">
        <v>22</v>
      </c>
      <c r="C452" s="172"/>
      <c r="D452" s="172"/>
      <c r="E452" s="173"/>
      <c r="F452" s="174"/>
      <c r="G452" s="172"/>
    </row>
    <row r="453" spans="2:7">
      <c r="B453" s="175" t="s">
        <v>23</v>
      </c>
      <c r="C453" s="175" t="s">
        <v>24</v>
      </c>
      <c r="D453" s="175" t="s">
        <v>25</v>
      </c>
      <c r="E453" s="182" t="s">
        <v>26</v>
      </c>
      <c r="F453" s="174" t="s">
        <v>11</v>
      </c>
      <c r="G453" s="175" t="s">
        <v>12</v>
      </c>
    </row>
    <row r="454" spans="2:7">
      <c r="B454" s="183" t="s">
        <v>47</v>
      </c>
      <c r="C454" s="173">
        <f>VLOOKUP(B454,Jornal,2,FALSE)</f>
        <v>156000</v>
      </c>
      <c r="D454" s="175">
        <v>1.73</v>
      </c>
      <c r="E454" s="184">
        <f>D454*C454</f>
        <v>269880</v>
      </c>
      <c r="F454" s="177">
        <v>0.15</v>
      </c>
      <c r="G454" s="173">
        <f>F454*E454</f>
        <v>40482</v>
      </c>
    </row>
    <row r="455" spans="2:7">
      <c r="B455" s="183"/>
      <c r="C455" s="173"/>
      <c r="D455" s="175"/>
      <c r="E455" s="184"/>
      <c r="F455" s="177"/>
      <c r="G455" s="173">
        <f>F455*E455</f>
        <v>0</v>
      </c>
    </row>
    <row r="456" spans="2:7">
      <c r="B456" s="183"/>
      <c r="C456" s="173"/>
      <c r="D456" s="172"/>
      <c r="E456" s="173"/>
      <c r="F456" s="177"/>
      <c r="G456" s="173"/>
    </row>
    <row r="457" spans="2:7">
      <c r="B457" s="169"/>
      <c r="C457" s="169"/>
      <c r="D457" s="169"/>
      <c r="E457" s="178"/>
      <c r="F457" s="171"/>
      <c r="G457" s="180">
        <f>SUM(G454:G456)</f>
        <v>40482</v>
      </c>
    </row>
    <row r="458" spans="2:7">
      <c r="B458" s="169"/>
      <c r="C458" s="169"/>
      <c r="D458" s="169"/>
      <c r="E458" s="178"/>
      <c r="F458" s="171"/>
      <c r="G458" s="169"/>
    </row>
    <row r="459" spans="2:7">
      <c r="B459" s="169"/>
      <c r="C459" s="169"/>
      <c r="D459" s="169"/>
      <c r="E459" s="243" t="s">
        <v>27</v>
      </c>
      <c r="F459" s="243"/>
      <c r="G459" s="187">
        <f>+G457+G451+G446+G434</f>
        <v>274185.2</v>
      </c>
    </row>
  </sheetData>
  <protectedRanges>
    <protectedRange sqref="G33 G31 G25 G20 G12:G14 B13:F13 B24:G24 B8:E8 B7:C7 F7:F8 B325:G325 B304:E304 B303:C303 F303:F304 B329:G331 G375 G373 G367 G362 B269:E269 B268:C268 B28:G30 F268:F269 B288:G290 G273:G275 B386:E386 B385:C385 F385:F386 B412:G414 G459 G457 G451 G446 G293 G291 G285 G280 B284:G284 G182 B195:E195 B194:C194 F194:F195 B215:G217 G308:G310 G68 G62 G57 B61:G61 B44:E44 B43:C43 F43:F44 B65:G67 B119:E119 B118:C118 F118:F119 G108 G106 G100 G95 B99:G99 B81:E81 B80:C80 F80:F81 G199:G201 B179:G181 G220 G218 G212 G207 B211:G211 G334 G332 B366:G366 B450:G450 B428:E428 B427:C427 F427:F428 B454:G456 G48:G50 G176 G171 B175:G175 B157:E157 B156:C156 G326 G321 B231:E231 B230:C230 G146 G144 G138 G133 B137:G137 G417 G415 G409 G404 F156:F157 G258 F230:F231 B253:G255 G184 B345:E345 B344:C344 F344:F345 B370:G372 G349:G351 G256 G250 G245 B249:G249 G70 B408:G408 G85:G87 G390:G392 G432:G434 B103:G105 B141:G143 G123:G125 G161:G163 G235:G237" name="Rango1"/>
    <protectedRange sqref="B17:G19 B437:G445 B395:G403 B278:G279 B354:G361 B313:G320 B53:G56 B204:G206 B90:G94 B166:G170 B128:G132 B240:G244" name="Rango1_1"/>
    <protectedRange sqref="B23:G23 B60:G60 B98:G98 B136:G136 B174:G174 B210:G210 B248:G248 B283:G283 B324:G324 B365:G365 B407:G407 B449:G449" name="Rango1_2"/>
    <protectedRange sqref="B12:F12 B349:F350 B308:F309 B48:F49 B85:F86 B273:F274 B199:F200 B390:F391 B432:F433 B123:F124 B161:F162 B235:F236" name="Rango1_3"/>
  </protectedRanges>
  <mergeCells count="246">
    <mergeCell ref="B85:C85"/>
    <mergeCell ref="B86:C86"/>
    <mergeCell ref="B89:C89"/>
    <mergeCell ref="B90:C90"/>
    <mergeCell ref="B91:C91"/>
    <mergeCell ref="B92:C92"/>
    <mergeCell ref="B93:C93"/>
    <mergeCell ref="B94:C94"/>
    <mergeCell ref="E108:F108"/>
    <mergeCell ref="B74:F74"/>
    <mergeCell ref="G74:G75"/>
    <mergeCell ref="B75:F75"/>
    <mergeCell ref="B76:G76"/>
    <mergeCell ref="B77:G77"/>
    <mergeCell ref="B78:C78"/>
    <mergeCell ref="D78:G78"/>
    <mergeCell ref="C79:G79"/>
    <mergeCell ref="C80:E80"/>
    <mergeCell ref="C81:E81"/>
    <mergeCell ref="B84:C84"/>
    <mergeCell ref="B444:C444"/>
    <mergeCell ref="B445:C445"/>
    <mergeCell ref="E459:F459"/>
    <mergeCell ref="B438:C438"/>
    <mergeCell ref="B439:C439"/>
    <mergeCell ref="B440:C440"/>
    <mergeCell ref="B441:C441"/>
    <mergeCell ref="B442:C442"/>
    <mergeCell ref="B443:C443"/>
    <mergeCell ref="C428:E428"/>
    <mergeCell ref="B431:C431"/>
    <mergeCell ref="B432:C432"/>
    <mergeCell ref="B433:C433"/>
    <mergeCell ref="B436:C436"/>
    <mergeCell ref="B437:C437"/>
    <mergeCell ref="B423:G423"/>
    <mergeCell ref="B424:G424"/>
    <mergeCell ref="B425:C425"/>
    <mergeCell ref="D425:G425"/>
    <mergeCell ref="C426:G426"/>
    <mergeCell ref="C427:E427"/>
    <mergeCell ref="B403:C403"/>
    <mergeCell ref="E417:F417"/>
    <mergeCell ref="B399:C399"/>
    <mergeCell ref="B421:F421"/>
    <mergeCell ref="G421:G422"/>
    <mergeCell ref="B422:F422"/>
    <mergeCell ref="B396:C396"/>
    <mergeCell ref="B397:C397"/>
    <mergeCell ref="B398:C398"/>
    <mergeCell ref="B400:C400"/>
    <mergeCell ref="B401:C401"/>
    <mergeCell ref="B402:C402"/>
    <mergeCell ref="B358:C358"/>
    <mergeCell ref="C343:G343"/>
    <mergeCell ref="C344:E344"/>
    <mergeCell ref="C386:E386"/>
    <mergeCell ref="B389:C389"/>
    <mergeCell ref="B390:C390"/>
    <mergeCell ref="B391:C391"/>
    <mergeCell ref="B394:C394"/>
    <mergeCell ref="B395:C395"/>
    <mergeCell ref="B381:G381"/>
    <mergeCell ref="B382:G382"/>
    <mergeCell ref="B383:C383"/>
    <mergeCell ref="D383:G383"/>
    <mergeCell ref="C384:G384"/>
    <mergeCell ref="C385:E385"/>
    <mergeCell ref="D301:G301"/>
    <mergeCell ref="C302:G302"/>
    <mergeCell ref="C303:E303"/>
    <mergeCell ref="B379:F379"/>
    <mergeCell ref="G379:G380"/>
    <mergeCell ref="B380:F380"/>
    <mergeCell ref="B349:C349"/>
    <mergeCell ref="B350:C350"/>
    <mergeCell ref="B338:F338"/>
    <mergeCell ref="G338:G339"/>
    <mergeCell ref="B339:F339"/>
    <mergeCell ref="B340:G340"/>
    <mergeCell ref="B341:G341"/>
    <mergeCell ref="B342:C342"/>
    <mergeCell ref="D342:G342"/>
    <mergeCell ref="B359:C359"/>
    <mergeCell ref="B360:C360"/>
    <mergeCell ref="B361:C361"/>
    <mergeCell ref="E375:F375"/>
    <mergeCell ref="B353:C353"/>
    <mergeCell ref="B354:C354"/>
    <mergeCell ref="B355:C355"/>
    <mergeCell ref="B356:C356"/>
    <mergeCell ref="B357:C357"/>
    <mergeCell ref="B279:C279"/>
    <mergeCell ref="E293:F293"/>
    <mergeCell ref="C304:E304"/>
    <mergeCell ref="B297:F297"/>
    <mergeCell ref="G297:G298"/>
    <mergeCell ref="B298:F298"/>
    <mergeCell ref="B299:G299"/>
    <mergeCell ref="C345:E345"/>
    <mergeCell ref="B348:C348"/>
    <mergeCell ref="B315:C315"/>
    <mergeCell ref="B316:C316"/>
    <mergeCell ref="B319:C319"/>
    <mergeCell ref="B320:C320"/>
    <mergeCell ref="E334:F334"/>
    <mergeCell ref="B317:C317"/>
    <mergeCell ref="B318:C318"/>
    <mergeCell ref="B307:C307"/>
    <mergeCell ref="B308:C308"/>
    <mergeCell ref="B309:C309"/>
    <mergeCell ref="B312:C312"/>
    <mergeCell ref="B313:C313"/>
    <mergeCell ref="B314:C314"/>
    <mergeCell ref="B300:G300"/>
    <mergeCell ref="B301:C301"/>
    <mergeCell ref="C269:E269"/>
    <mergeCell ref="B272:C272"/>
    <mergeCell ref="B273:C273"/>
    <mergeCell ref="B274:C274"/>
    <mergeCell ref="B277:C277"/>
    <mergeCell ref="B278:C278"/>
    <mergeCell ref="B264:G264"/>
    <mergeCell ref="B265:G265"/>
    <mergeCell ref="B266:C266"/>
    <mergeCell ref="D266:G266"/>
    <mergeCell ref="C267:G267"/>
    <mergeCell ref="C268:E268"/>
    <mergeCell ref="E258:F258"/>
    <mergeCell ref="B239:C239"/>
    <mergeCell ref="B240:C240"/>
    <mergeCell ref="B241:C241"/>
    <mergeCell ref="B242:C242"/>
    <mergeCell ref="B243:C243"/>
    <mergeCell ref="B244:C244"/>
    <mergeCell ref="B262:F262"/>
    <mergeCell ref="G262:G263"/>
    <mergeCell ref="B263:F263"/>
    <mergeCell ref="C229:G229"/>
    <mergeCell ref="C230:E230"/>
    <mergeCell ref="C231:E231"/>
    <mergeCell ref="B234:C234"/>
    <mergeCell ref="B235:C235"/>
    <mergeCell ref="B236:C236"/>
    <mergeCell ref="G224:G225"/>
    <mergeCell ref="B225:F225"/>
    <mergeCell ref="B226:G226"/>
    <mergeCell ref="B227:G227"/>
    <mergeCell ref="B228:C228"/>
    <mergeCell ref="D228:G228"/>
    <mergeCell ref="B224:F224"/>
    <mergeCell ref="B205:C205"/>
    <mergeCell ref="B206:C206"/>
    <mergeCell ref="E220:F220"/>
    <mergeCell ref="B199:C199"/>
    <mergeCell ref="B200:C200"/>
    <mergeCell ref="B203:C203"/>
    <mergeCell ref="B204:C204"/>
    <mergeCell ref="B192:C192"/>
    <mergeCell ref="D192:G192"/>
    <mergeCell ref="C193:G193"/>
    <mergeCell ref="C194:E194"/>
    <mergeCell ref="C195:E195"/>
    <mergeCell ref="B198:C198"/>
    <mergeCell ref="E184:F184"/>
    <mergeCell ref="B188:F188"/>
    <mergeCell ref="G188:G189"/>
    <mergeCell ref="B189:F189"/>
    <mergeCell ref="B190:G190"/>
    <mergeCell ref="B191:G191"/>
    <mergeCell ref="B165:C165"/>
    <mergeCell ref="B166:C166"/>
    <mergeCell ref="B167:C167"/>
    <mergeCell ref="B168:C168"/>
    <mergeCell ref="B169:C169"/>
    <mergeCell ref="B170:C170"/>
    <mergeCell ref="C155:G155"/>
    <mergeCell ref="C156:E156"/>
    <mergeCell ref="C157:E157"/>
    <mergeCell ref="B160:C160"/>
    <mergeCell ref="B161:C161"/>
    <mergeCell ref="B162:C162"/>
    <mergeCell ref="G150:G151"/>
    <mergeCell ref="B151:F151"/>
    <mergeCell ref="B152:G152"/>
    <mergeCell ref="B153:G153"/>
    <mergeCell ref="B154:C154"/>
    <mergeCell ref="D154:G154"/>
    <mergeCell ref="B150:F150"/>
    <mergeCell ref="B130:C130"/>
    <mergeCell ref="B131:C131"/>
    <mergeCell ref="B132:C132"/>
    <mergeCell ref="E146:F146"/>
    <mergeCell ref="B122:C122"/>
    <mergeCell ref="B123:C123"/>
    <mergeCell ref="B124:C124"/>
    <mergeCell ref="B127:C127"/>
    <mergeCell ref="B128:C128"/>
    <mergeCell ref="B129:C129"/>
    <mergeCell ref="B115:G115"/>
    <mergeCell ref="B116:C116"/>
    <mergeCell ref="D116:G116"/>
    <mergeCell ref="C117:G117"/>
    <mergeCell ref="C118:E118"/>
    <mergeCell ref="C119:E119"/>
    <mergeCell ref="B112:F112"/>
    <mergeCell ref="G112:G113"/>
    <mergeCell ref="B113:F113"/>
    <mergeCell ref="B114:G114"/>
    <mergeCell ref="B55:C55"/>
    <mergeCell ref="B56:C56"/>
    <mergeCell ref="E70:F70"/>
    <mergeCell ref="B54:C54"/>
    <mergeCell ref="C42:G42"/>
    <mergeCell ref="C43:E43"/>
    <mergeCell ref="C44:E44"/>
    <mergeCell ref="B47:C47"/>
    <mergeCell ref="B48:C48"/>
    <mergeCell ref="B49:C49"/>
    <mergeCell ref="B37:F37"/>
    <mergeCell ref="G37:G38"/>
    <mergeCell ref="B38:F38"/>
    <mergeCell ref="B39:G39"/>
    <mergeCell ref="B40:G40"/>
    <mergeCell ref="B41:C41"/>
    <mergeCell ref="D41:G41"/>
    <mergeCell ref="B52:C52"/>
    <mergeCell ref="B53:C53"/>
    <mergeCell ref="B2:F2"/>
    <mergeCell ref="B1:F1"/>
    <mergeCell ref="C6:G6"/>
    <mergeCell ref="B16:C16"/>
    <mergeCell ref="B17:C17"/>
    <mergeCell ref="B18:C18"/>
    <mergeCell ref="B19:C19"/>
    <mergeCell ref="E33:F33"/>
    <mergeCell ref="B11:C11"/>
    <mergeCell ref="B12:C12"/>
    <mergeCell ref="B13:C13"/>
    <mergeCell ref="B4:G4"/>
    <mergeCell ref="B5:C5"/>
    <mergeCell ref="D5:G5"/>
    <mergeCell ref="G1:G2"/>
    <mergeCell ref="B3:G3"/>
    <mergeCell ref="C8:E8"/>
    <mergeCell ref="C7:E7"/>
  </mergeCells>
  <phoneticPr fontId="8" type="noConversion"/>
  <dataValidations count="2">
    <dataValidation type="list" allowBlank="1" showInputMessage="1" showErrorMessage="1" sqref="B17:B19 C17 C19 B53:C56 B128:C132 B166:C170 B204:C206 B240:C244 B278:C279 B313:C320 B354:C361 B395:C403 B437:C445 B90:C94" xr:uid="{67B68411-ACB6-4E1A-8702-0E89F24F5362}">
      <formula1>Materiales</formula1>
    </dataValidation>
    <dataValidation type="list" allowBlank="1" showInputMessage="1" showErrorMessage="1" sqref="B28:B29 B65:B66 B141:B142 B179:B180 B215:B216 B253:B254 B288:B289 B103:B104 B329:B330 B370:B371 B412:B413 B454:B455" xr:uid="{125871DD-4595-4726-82BB-3BC45691145D}">
      <formula1>Cuadrilla</formula1>
    </dataValidation>
  </dataValidations>
  <pageMargins left="0.25" right="0.25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1F2D8-8A49-496A-A386-41008AE4D28A}">
  <sheetPr>
    <tabColor theme="5" tint="0.79998168889431442"/>
  </sheetPr>
  <dimension ref="A1:J350"/>
  <sheetViews>
    <sheetView topLeftCell="A187" workbookViewId="0">
      <selection activeCell="B201" sqref="B201"/>
    </sheetView>
  </sheetViews>
  <sheetFormatPr baseColWidth="10" defaultColWidth="11.42578125" defaultRowHeight="12.75"/>
  <cols>
    <col min="1" max="1" width="48.140625" style="52" customWidth="1"/>
    <col min="2" max="2" width="12.85546875" style="52" customWidth="1"/>
    <col min="3" max="3" width="15.7109375" style="52" customWidth="1"/>
    <col min="4" max="4" width="11.42578125" style="52"/>
    <col min="5" max="5" width="7" style="52" bestFit="1" customWidth="1"/>
    <col min="6" max="6" width="9.5703125" style="52" bestFit="1" customWidth="1"/>
    <col min="7" max="7" width="19.140625" style="52" customWidth="1"/>
    <col min="8" max="8" width="13.5703125" style="52" customWidth="1"/>
    <col min="9" max="9" width="21.140625" style="52" customWidth="1"/>
    <col min="10" max="16384" width="11.42578125" style="52"/>
  </cols>
  <sheetData>
    <row r="1" spans="1:3" ht="23.25" customHeight="1">
      <c r="A1" s="51" t="s">
        <v>83</v>
      </c>
      <c r="B1" s="51" t="s">
        <v>3</v>
      </c>
      <c r="C1" s="51" t="s">
        <v>84</v>
      </c>
    </row>
    <row r="2" spans="1:3">
      <c r="A2" s="73" t="s">
        <v>401</v>
      </c>
      <c r="B2" s="73" t="s">
        <v>85</v>
      </c>
      <c r="C2" s="79">
        <v>37500</v>
      </c>
    </row>
    <row r="3" spans="1:3">
      <c r="A3" s="73" t="s">
        <v>86</v>
      </c>
      <c r="B3" s="73" t="s">
        <v>85</v>
      </c>
      <c r="C3" s="79">
        <v>39400</v>
      </c>
    </row>
    <row r="4" spans="1:3">
      <c r="A4" s="73" t="s">
        <v>87</v>
      </c>
      <c r="B4" s="73" t="s">
        <v>65</v>
      </c>
      <c r="C4" s="79">
        <v>2530</v>
      </c>
    </row>
    <row r="5" spans="1:3">
      <c r="A5" s="73" t="s">
        <v>88</v>
      </c>
      <c r="B5" s="73" t="s">
        <v>63</v>
      </c>
      <c r="C5" s="79">
        <v>390558</v>
      </c>
    </row>
    <row r="6" spans="1:3">
      <c r="A6" s="73" t="s">
        <v>89</v>
      </c>
      <c r="B6" s="73" t="s">
        <v>37</v>
      </c>
      <c r="C6" s="79">
        <v>303500</v>
      </c>
    </row>
    <row r="7" spans="1:3">
      <c r="A7" s="73" t="s">
        <v>90</v>
      </c>
      <c r="B7" s="73" t="s">
        <v>63</v>
      </c>
      <c r="C7" s="79">
        <v>352500</v>
      </c>
    </row>
    <row r="8" spans="1:3">
      <c r="A8" s="73" t="s">
        <v>91</v>
      </c>
      <c r="B8" s="73" t="s">
        <v>92</v>
      </c>
      <c r="C8" s="79">
        <v>12900</v>
      </c>
    </row>
    <row r="9" spans="1:3">
      <c r="A9" s="52" t="s">
        <v>93</v>
      </c>
      <c r="B9" s="73" t="s">
        <v>75</v>
      </c>
      <c r="C9" s="79">
        <v>6000</v>
      </c>
    </row>
    <row r="10" spans="1:3">
      <c r="A10" s="73" t="s">
        <v>94</v>
      </c>
      <c r="B10" s="73" t="s">
        <v>63</v>
      </c>
      <c r="C10" s="79">
        <f>ROUND((495000/6),-3)</f>
        <v>83000</v>
      </c>
    </row>
    <row r="11" spans="1:3">
      <c r="A11" s="73" t="s">
        <v>95</v>
      </c>
      <c r="B11" s="73" t="s">
        <v>63</v>
      </c>
      <c r="C11" s="79">
        <f>ROUND((405000/6),-3)</f>
        <v>68000</v>
      </c>
    </row>
    <row r="12" spans="1:3">
      <c r="A12" s="73" t="s">
        <v>96</v>
      </c>
      <c r="B12" s="73" t="s">
        <v>63</v>
      </c>
      <c r="C12" s="79">
        <f>ROUND((405000/6),-3)</f>
        <v>68000</v>
      </c>
    </row>
    <row r="13" spans="1:3">
      <c r="A13" s="73" t="s">
        <v>97</v>
      </c>
      <c r="B13" s="73" t="s">
        <v>63</v>
      </c>
      <c r="C13" s="79">
        <f>ROUND((495000/6),-3)</f>
        <v>83000</v>
      </c>
    </row>
    <row r="14" spans="1:3">
      <c r="A14" s="73" t="s">
        <v>98</v>
      </c>
      <c r="B14" s="73" t="s">
        <v>63</v>
      </c>
      <c r="C14" s="79"/>
    </row>
    <row r="15" spans="1:3">
      <c r="A15" s="73" t="s">
        <v>99</v>
      </c>
      <c r="B15" s="73" t="s">
        <v>63</v>
      </c>
      <c r="C15" s="79">
        <v>56000</v>
      </c>
    </row>
    <row r="16" spans="1:3">
      <c r="A16" s="73" t="s">
        <v>100</v>
      </c>
      <c r="B16" s="73" t="s">
        <v>63</v>
      </c>
      <c r="C16" s="79">
        <v>40000</v>
      </c>
    </row>
    <row r="17" spans="1:3">
      <c r="A17" s="73" t="s">
        <v>101</v>
      </c>
      <c r="B17" s="73" t="s">
        <v>39</v>
      </c>
      <c r="C17" s="79">
        <v>2300</v>
      </c>
    </row>
    <row r="18" spans="1:3">
      <c r="A18" s="73" t="s">
        <v>102</v>
      </c>
      <c r="B18" s="73" t="s">
        <v>63</v>
      </c>
      <c r="C18" s="79">
        <v>75000</v>
      </c>
    </row>
    <row r="19" spans="1:3">
      <c r="A19" s="73" t="s">
        <v>485</v>
      </c>
      <c r="B19" s="73" t="s">
        <v>486</v>
      </c>
      <c r="C19" s="79">
        <v>18000</v>
      </c>
    </row>
    <row r="20" spans="1:3">
      <c r="A20" s="73"/>
      <c r="B20" s="73"/>
      <c r="C20" s="79"/>
    </row>
    <row r="21" spans="1:3">
      <c r="A21" s="73" t="s">
        <v>103</v>
      </c>
      <c r="B21" s="73" t="s">
        <v>104</v>
      </c>
      <c r="C21" s="79">
        <v>100</v>
      </c>
    </row>
    <row r="22" spans="1:3">
      <c r="A22" s="73" t="s">
        <v>105</v>
      </c>
      <c r="B22" s="73" t="s">
        <v>38</v>
      </c>
      <c r="C22" s="79">
        <v>450</v>
      </c>
    </row>
    <row r="23" spans="1:3">
      <c r="A23" s="73" t="s">
        <v>106</v>
      </c>
      <c r="B23" s="73" t="s">
        <v>38</v>
      </c>
      <c r="C23" s="79">
        <v>2190</v>
      </c>
    </row>
    <row r="24" spans="1:3">
      <c r="A24" s="73" t="s">
        <v>107</v>
      </c>
      <c r="B24" s="73" t="s">
        <v>38</v>
      </c>
      <c r="C24" s="79">
        <v>350000</v>
      </c>
    </row>
    <row r="25" spans="1:3">
      <c r="A25" s="73" t="s">
        <v>108</v>
      </c>
      <c r="B25" s="73" t="s">
        <v>38</v>
      </c>
      <c r="C25" s="79">
        <v>355000</v>
      </c>
    </row>
    <row r="26" spans="1:3">
      <c r="A26" s="73" t="s">
        <v>109</v>
      </c>
      <c r="B26" s="73" t="s">
        <v>37</v>
      </c>
      <c r="C26" s="79">
        <v>45000</v>
      </c>
    </row>
    <row r="27" spans="1:3">
      <c r="A27" s="73" t="s">
        <v>110</v>
      </c>
      <c r="B27" s="73" t="s">
        <v>39</v>
      </c>
      <c r="C27" s="79">
        <v>2050</v>
      </c>
    </row>
    <row r="28" spans="1:3">
      <c r="A28" s="73" t="s">
        <v>111</v>
      </c>
      <c r="B28" s="73" t="s">
        <v>39</v>
      </c>
      <c r="C28" s="79">
        <v>2050</v>
      </c>
    </row>
    <row r="29" spans="1:3">
      <c r="A29" s="73" t="s">
        <v>112</v>
      </c>
      <c r="B29" s="73" t="s">
        <v>39</v>
      </c>
      <c r="C29" s="79">
        <v>2900</v>
      </c>
    </row>
    <row r="30" spans="1:3">
      <c r="A30" s="73" t="s">
        <v>113</v>
      </c>
      <c r="B30" s="73" t="s">
        <v>39</v>
      </c>
      <c r="C30" s="79">
        <v>750</v>
      </c>
    </row>
    <row r="31" spans="1:3">
      <c r="A31" s="73" t="s">
        <v>415</v>
      </c>
      <c r="B31" s="73" t="s">
        <v>39</v>
      </c>
      <c r="C31" s="79">
        <v>3050</v>
      </c>
    </row>
    <row r="32" spans="1:3">
      <c r="A32" s="73" t="s">
        <v>114</v>
      </c>
      <c r="B32" s="73" t="s">
        <v>39</v>
      </c>
      <c r="C32" s="79">
        <v>550</v>
      </c>
    </row>
    <row r="33" spans="1:5">
      <c r="A33" s="73" t="s">
        <v>115</v>
      </c>
      <c r="B33" s="73" t="s">
        <v>39</v>
      </c>
      <c r="C33" s="79">
        <v>1600</v>
      </c>
    </row>
    <row r="34" spans="1:5">
      <c r="A34" s="73"/>
      <c r="B34" s="73"/>
      <c r="C34" s="79"/>
    </row>
    <row r="35" spans="1:5">
      <c r="A35" s="73" t="s">
        <v>416</v>
      </c>
      <c r="B35" s="73" t="s">
        <v>69</v>
      </c>
      <c r="C35" s="79">
        <v>80990</v>
      </c>
      <c r="E35" s="52" t="s">
        <v>417</v>
      </c>
    </row>
    <row r="36" spans="1:5">
      <c r="A36" s="73" t="s">
        <v>418</v>
      </c>
      <c r="B36" s="73" t="s">
        <v>69</v>
      </c>
      <c r="C36" s="79">
        <f>133900/5</f>
        <v>26780</v>
      </c>
      <c r="E36" s="52" t="s">
        <v>419</v>
      </c>
    </row>
    <row r="37" spans="1:5">
      <c r="A37" s="73" t="s">
        <v>411</v>
      </c>
      <c r="B37" s="73" t="s">
        <v>69</v>
      </c>
      <c r="C37" s="79">
        <v>73990</v>
      </c>
    </row>
    <row r="38" spans="1:5">
      <c r="A38" s="73" t="s">
        <v>116</v>
      </c>
      <c r="B38" s="73" t="s">
        <v>69</v>
      </c>
      <c r="C38" s="79">
        <v>45600</v>
      </c>
    </row>
    <row r="39" spans="1:5">
      <c r="A39" s="73" t="s">
        <v>508</v>
      </c>
      <c r="B39" s="73" t="s">
        <v>69</v>
      </c>
      <c r="C39" s="79">
        <v>117100</v>
      </c>
    </row>
    <row r="40" spans="1:5">
      <c r="A40" s="73" t="s">
        <v>81</v>
      </c>
      <c r="B40" s="73" t="s">
        <v>69</v>
      </c>
      <c r="C40" s="79">
        <v>65850</v>
      </c>
    </row>
    <row r="41" spans="1:5">
      <c r="A41" s="73" t="s">
        <v>70</v>
      </c>
      <c r="B41" s="73" t="s">
        <v>69</v>
      </c>
      <c r="C41" s="79">
        <v>98420</v>
      </c>
    </row>
    <row r="42" spans="1:5">
      <c r="A42" s="73" t="s">
        <v>117</v>
      </c>
      <c r="B42" s="73" t="s">
        <v>69</v>
      </c>
      <c r="C42" s="79">
        <v>183500</v>
      </c>
      <c r="E42" s="52">
        <v>130000</v>
      </c>
    </row>
    <row r="43" spans="1:5">
      <c r="A43" s="73" t="s">
        <v>118</v>
      </c>
      <c r="B43" s="73" t="s">
        <v>69</v>
      </c>
      <c r="C43" s="79">
        <v>89900</v>
      </c>
    </row>
    <row r="44" spans="1:5">
      <c r="A44" s="73" t="s">
        <v>119</v>
      </c>
      <c r="B44" s="73" t="s">
        <v>69</v>
      </c>
      <c r="C44" s="79">
        <f>185000/4</f>
        <v>46250</v>
      </c>
    </row>
    <row r="45" spans="1:5">
      <c r="A45" s="73" t="s">
        <v>120</v>
      </c>
      <c r="B45" s="73" t="s">
        <v>69</v>
      </c>
      <c r="C45" s="79">
        <v>58000</v>
      </c>
    </row>
    <row r="46" spans="1:5">
      <c r="A46" s="73" t="s">
        <v>67</v>
      </c>
      <c r="B46" s="73" t="s">
        <v>69</v>
      </c>
      <c r="C46" s="79">
        <v>35500</v>
      </c>
    </row>
    <row r="47" spans="1:5">
      <c r="A47" s="73" t="s">
        <v>121</v>
      </c>
      <c r="B47" s="73" t="s">
        <v>463</v>
      </c>
      <c r="C47" s="79">
        <v>486900</v>
      </c>
    </row>
    <row r="48" spans="1:5">
      <c r="A48" s="73" t="s">
        <v>122</v>
      </c>
      <c r="B48" s="73" t="s">
        <v>69</v>
      </c>
      <c r="C48" s="79">
        <v>69000</v>
      </c>
    </row>
    <row r="49" spans="1:8">
      <c r="A49" s="73" t="s">
        <v>509</v>
      </c>
      <c r="B49" s="73" t="s">
        <v>104</v>
      </c>
      <c r="C49" s="79">
        <v>37200</v>
      </c>
    </row>
    <row r="50" spans="1:8">
      <c r="A50" s="73" t="s">
        <v>71</v>
      </c>
      <c r="B50" s="73" t="s">
        <v>39</v>
      </c>
      <c r="C50" s="79">
        <v>14650</v>
      </c>
    </row>
    <row r="51" spans="1:8">
      <c r="A51" s="73" t="s">
        <v>72</v>
      </c>
      <c r="B51" s="73" t="s">
        <v>39</v>
      </c>
      <c r="C51" s="79">
        <v>10870</v>
      </c>
    </row>
    <row r="52" spans="1:8">
      <c r="A52" s="73" t="s">
        <v>123</v>
      </c>
      <c r="B52" s="73" t="s">
        <v>69</v>
      </c>
      <c r="C52" s="79">
        <v>310000</v>
      </c>
    </row>
    <row r="53" spans="1:8">
      <c r="A53" s="73" t="s">
        <v>124</v>
      </c>
      <c r="B53" s="73" t="s">
        <v>37</v>
      </c>
      <c r="C53" s="79">
        <f>129000/6</f>
        <v>21500</v>
      </c>
      <c r="G53" s="52">
        <v>128900</v>
      </c>
      <c r="H53" s="52">
        <v>177300</v>
      </c>
    </row>
    <row r="54" spans="1:8">
      <c r="A54" s="73" t="s">
        <v>125</v>
      </c>
      <c r="B54" s="73" t="s">
        <v>37</v>
      </c>
      <c r="C54" s="79">
        <f>177500/14</f>
        <v>12678.571428571429</v>
      </c>
    </row>
    <row r="55" spans="1:8">
      <c r="A55" s="73" t="s">
        <v>66</v>
      </c>
      <c r="B55" s="73" t="s">
        <v>85</v>
      </c>
      <c r="C55" s="79">
        <v>54500</v>
      </c>
      <c r="G55" s="52">
        <v>6</v>
      </c>
      <c r="H55" s="52">
        <v>14</v>
      </c>
    </row>
    <row r="56" spans="1:8">
      <c r="A56" s="73" t="s">
        <v>126</v>
      </c>
      <c r="B56" s="73" t="s">
        <v>37</v>
      </c>
      <c r="C56" s="79">
        <v>45000</v>
      </c>
    </row>
    <row r="57" spans="1:8">
      <c r="A57" s="73" t="s">
        <v>127</v>
      </c>
      <c r="B57" s="73" t="s">
        <v>38</v>
      </c>
      <c r="C57" s="79">
        <v>3662</v>
      </c>
    </row>
    <row r="58" spans="1:8">
      <c r="A58" s="73" t="s">
        <v>128</v>
      </c>
      <c r="B58" s="73" t="s">
        <v>38</v>
      </c>
      <c r="C58" s="79">
        <v>3450</v>
      </c>
    </row>
    <row r="59" spans="1:8">
      <c r="A59" s="73" t="s">
        <v>129</v>
      </c>
      <c r="B59" s="73" t="s">
        <v>38</v>
      </c>
      <c r="C59" s="79">
        <v>9416</v>
      </c>
    </row>
    <row r="60" spans="1:8">
      <c r="A60" s="73" t="s">
        <v>130</v>
      </c>
      <c r="B60" s="73" t="s">
        <v>39</v>
      </c>
      <c r="C60" s="79">
        <v>265000</v>
      </c>
    </row>
    <row r="61" spans="1:8">
      <c r="A61" s="73" t="s">
        <v>131</v>
      </c>
      <c r="B61" s="73" t="s">
        <v>39</v>
      </c>
      <c r="C61" s="79"/>
    </row>
    <row r="62" spans="1:8">
      <c r="A62" s="73" t="s">
        <v>132</v>
      </c>
      <c r="B62" s="73" t="s">
        <v>39</v>
      </c>
      <c r="C62" s="79"/>
    </row>
    <row r="63" spans="1:8">
      <c r="A63" s="73" t="s">
        <v>133</v>
      </c>
      <c r="B63" s="73"/>
      <c r="C63" s="79">
        <v>60000</v>
      </c>
      <c r="E63" s="52" t="s">
        <v>134</v>
      </c>
      <c r="F63" s="52" t="s">
        <v>135</v>
      </c>
      <c r="G63" s="52" t="s">
        <v>136</v>
      </c>
    </row>
    <row r="64" spans="1:8">
      <c r="A64" s="73"/>
      <c r="B64" s="73"/>
      <c r="C64" s="79"/>
    </row>
    <row r="65" spans="1:7">
      <c r="A65" s="73" t="s">
        <v>78</v>
      </c>
      <c r="B65" s="73" t="s">
        <v>39</v>
      </c>
      <c r="C65" s="79">
        <v>38900</v>
      </c>
      <c r="E65" s="52">
        <v>32750</v>
      </c>
      <c r="F65" s="52">
        <v>31900</v>
      </c>
      <c r="G65" s="52">
        <f>F65*0.05</f>
        <v>1595</v>
      </c>
    </row>
    <row r="66" spans="1:7">
      <c r="A66" s="73" t="s">
        <v>137</v>
      </c>
      <c r="B66" s="73" t="s">
        <v>39</v>
      </c>
      <c r="C66" s="79">
        <v>65300</v>
      </c>
    </row>
    <row r="67" spans="1:7">
      <c r="A67" s="73" t="s">
        <v>138</v>
      </c>
      <c r="B67" s="73" t="s">
        <v>39</v>
      </c>
      <c r="C67" s="79">
        <v>54500</v>
      </c>
    </row>
    <row r="68" spans="1:7">
      <c r="A68" s="73" t="s">
        <v>139</v>
      </c>
      <c r="B68" s="73" t="s">
        <v>39</v>
      </c>
      <c r="C68" s="79">
        <v>67300</v>
      </c>
    </row>
    <row r="69" spans="1:7">
      <c r="A69" s="73" t="s">
        <v>140</v>
      </c>
      <c r="B69" s="73" t="s">
        <v>39</v>
      </c>
      <c r="C69" s="79">
        <v>79900</v>
      </c>
    </row>
    <row r="70" spans="1:7">
      <c r="A70" s="73" t="s">
        <v>141</v>
      </c>
      <c r="B70" s="73" t="s">
        <v>39</v>
      </c>
      <c r="C70" s="79">
        <v>110400</v>
      </c>
    </row>
    <row r="71" spans="1:7">
      <c r="A71" s="73" t="s">
        <v>142</v>
      </c>
      <c r="B71" s="73" t="s">
        <v>39</v>
      </c>
      <c r="C71" s="79">
        <v>159000</v>
      </c>
    </row>
    <row r="72" spans="1:7">
      <c r="A72" s="73" t="s">
        <v>498</v>
      </c>
      <c r="B72" s="73" t="s">
        <v>39</v>
      </c>
      <c r="C72" s="79"/>
    </row>
    <row r="73" spans="1:7">
      <c r="A73" s="73"/>
      <c r="B73" s="73"/>
      <c r="C73" s="79"/>
    </row>
    <row r="74" spans="1:7">
      <c r="A74" s="73" t="s">
        <v>143</v>
      </c>
      <c r="B74" s="73" t="s">
        <v>39</v>
      </c>
      <c r="C74" s="79">
        <v>7210</v>
      </c>
    </row>
    <row r="75" spans="1:7">
      <c r="A75" s="73" t="s">
        <v>144</v>
      </c>
      <c r="B75" s="73" t="s">
        <v>39</v>
      </c>
      <c r="C75" s="79">
        <v>6890</v>
      </c>
    </row>
    <row r="76" spans="1:7">
      <c r="A76" s="73" t="s">
        <v>82</v>
      </c>
      <c r="B76" s="73" t="s">
        <v>39</v>
      </c>
      <c r="C76" s="79">
        <v>34120</v>
      </c>
    </row>
    <row r="77" spans="1:7">
      <c r="A77" s="73" t="s">
        <v>145</v>
      </c>
      <c r="B77" s="73" t="s">
        <v>39</v>
      </c>
      <c r="C77" s="79">
        <v>5210</v>
      </c>
    </row>
    <row r="78" spans="1:7">
      <c r="A78" s="73" t="s">
        <v>146</v>
      </c>
      <c r="B78" s="73" t="s">
        <v>39</v>
      </c>
      <c r="C78" s="79">
        <v>11860</v>
      </c>
    </row>
    <row r="79" spans="1:7">
      <c r="A79" s="73" t="s">
        <v>147</v>
      </c>
      <c r="B79" s="73" t="s">
        <v>39</v>
      </c>
      <c r="C79" s="79">
        <v>10140</v>
      </c>
    </row>
    <row r="80" spans="1:7" ht="14.25" customHeight="1">
      <c r="A80" s="73" t="s">
        <v>148</v>
      </c>
      <c r="B80" s="73" t="s">
        <v>39</v>
      </c>
      <c r="C80" s="79">
        <v>13600</v>
      </c>
      <c r="D80" s="52">
        <v>14600</v>
      </c>
      <c r="E80" s="52">
        <v>14300</v>
      </c>
      <c r="F80" s="52">
        <v>13800</v>
      </c>
    </row>
    <row r="81" spans="1:6">
      <c r="A81" s="73" t="s">
        <v>149</v>
      </c>
      <c r="B81" s="73" t="s">
        <v>39</v>
      </c>
      <c r="C81" s="79">
        <v>11600</v>
      </c>
      <c r="D81" s="52">
        <v>12490</v>
      </c>
      <c r="E81" s="52">
        <v>12094</v>
      </c>
      <c r="F81" s="52">
        <v>11700</v>
      </c>
    </row>
    <row r="82" spans="1:6">
      <c r="A82" s="73" t="s">
        <v>150</v>
      </c>
      <c r="B82" s="73" t="s">
        <v>39</v>
      </c>
      <c r="C82" s="79">
        <v>14700</v>
      </c>
    </row>
    <row r="83" spans="1:6">
      <c r="A83" s="73" t="s">
        <v>151</v>
      </c>
      <c r="B83" s="73" t="s">
        <v>39</v>
      </c>
      <c r="C83" s="79">
        <v>12400</v>
      </c>
    </row>
    <row r="84" spans="1:6">
      <c r="A84" s="73" t="s">
        <v>152</v>
      </c>
      <c r="B84" s="73" t="s">
        <v>39</v>
      </c>
      <c r="C84" s="79">
        <v>19200</v>
      </c>
    </row>
    <row r="85" spans="1:6">
      <c r="A85" s="73" t="s">
        <v>153</v>
      </c>
      <c r="B85" s="73" t="s">
        <v>39</v>
      </c>
      <c r="C85" s="79">
        <v>16150</v>
      </c>
    </row>
    <row r="86" spans="1:6">
      <c r="A86" s="73" t="s">
        <v>154</v>
      </c>
      <c r="B86" s="73" t="s">
        <v>39</v>
      </c>
      <c r="C86" s="79">
        <v>29000</v>
      </c>
    </row>
    <row r="87" spans="1:6">
      <c r="A87" s="73" t="s">
        <v>155</v>
      </c>
      <c r="B87" s="73" t="s">
        <v>39</v>
      </c>
      <c r="C87" s="79">
        <v>22000</v>
      </c>
    </row>
    <row r="88" spans="1:6">
      <c r="A88" s="73" t="s">
        <v>156</v>
      </c>
      <c r="B88" s="73" t="s">
        <v>39</v>
      </c>
      <c r="C88" s="79">
        <v>160</v>
      </c>
    </row>
    <row r="89" spans="1:6">
      <c r="A89" s="73" t="s">
        <v>157</v>
      </c>
      <c r="B89" s="73" t="s">
        <v>38</v>
      </c>
      <c r="C89" s="79">
        <v>15315</v>
      </c>
    </row>
    <row r="90" spans="1:6">
      <c r="A90" s="73" t="s">
        <v>158</v>
      </c>
      <c r="B90" s="73" t="s">
        <v>75</v>
      </c>
      <c r="C90" s="79">
        <v>62340</v>
      </c>
    </row>
    <row r="91" spans="1:6">
      <c r="A91" s="73" t="s">
        <v>159</v>
      </c>
      <c r="B91" s="73" t="s">
        <v>38</v>
      </c>
      <c r="C91" s="79">
        <v>420</v>
      </c>
    </row>
    <row r="92" spans="1:6">
      <c r="A92" s="73" t="s">
        <v>160</v>
      </c>
      <c r="B92" s="73" t="s">
        <v>38</v>
      </c>
      <c r="C92" s="79">
        <v>340</v>
      </c>
    </row>
    <row r="93" spans="1:6">
      <c r="A93" s="73" t="s">
        <v>161</v>
      </c>
      <c r="B93" s="73" t="s">
        <v>39</v>
      </c>
      <c r="C93" s="79">
        <v>1560</v>
      </c>
    </row>
    <row r="94" spans="1:6">
      <c r="A94" s="73" t="s">
        <v>162</v>
      </c>
      <c r="B94" s="73"/>
      <c r="C94" s="79"/>
    </row>
    <row r="95" spans="1:6">
      <c r="A95" s="73"/>
      <c r="B95" s="73"/>
      <c r="C95" s="79"/>
    </row>
    <row r="96" spans="1:6">
      <c r="A96" s="73" t="s">
        <v>74</v>
      </c>
      <c r="B96" s="73" t="s">
        <v>68</v>
      </c>
      <c r="C96" s="79">
        <v>31200</v>
      </c>
    </row>
    <row r="97" spans="1:7">
      <c r="A97" s="73" t="s">
        <v>163</v>
      </c>
      <c r="B97" s="73" t="s">
        <v>37</v>
      </c>
      <c r="C97" s="79">
        <v>41200</v>
      </c>
    </row>
    <row r="98" spans="1:7">
      <c r="A98" s="73" t="s">
        <v>464</v>
      </c>
      <c r="B98" s="73" t="s">
        <v>37</v>
      </c>
      <c r="C98" s="79">
        <v>40700</v>
      </c>
    </row>
    <row r="99" spans="1:7">
      <c r="A99" s="73" t="s">
        <v>164</v>
      </c>
      <c r="B99" s="73" t="s">
        <v>65</v>
      </c>
      <c r="C99" s="79">
        <v>9130</v>
      </c>
      <c r="G99" s="52">
        <f>28900/4</f>
        <v>7225</v>
      </c>
    </row>
    <row r="100" spans="1:7">
      <c r="A100" s="73" t="s">
        <v>165</v>
      </c>
      <c r="B100" s="73" t="s">
        <v>37</v>
      </c>
      <c r="C100" s="79">
        <v>85000</v>
      </c>
    </row>
    <row r="101" spans="1:7">
      <c r="A101" s="73" t="s">
        <v>166</v>
      </c>
      <c r="B101" s="73" t="s">
        <v>37</v>
      </c>
      <c r="C101" s="79">
        <v>7950</v>
      </c>
      <c r="G101" s="52">
        <f>44000/6</f>
        <v>7333.333333333333</v>
      </c>
    </row>
    <row r="102" spans="1:7">
      <c r="A102" s="73" t="s">
        <v>167</v>
      </c>
      <c r="B102" s="73" t="s">
        <v>75</v>
      </c>
      <c r="C102" s="79">
        <v>5370</v>
      </c>
    </row>
    <row r="103" spans="1:7">
      <c r="A103" s="73" t="s">
        <v>168</v>
      </c>
      <c r="B103" s="73" t="s">
        <v>37</v>
      </c>
      <c r="C103" s="79">
        <v>36700</v>
      </c>
    </row>
    <row r="104" spans="1:7">
      <c r="A104" s="73" t="s">
        <v>169</v>
      </c>
      <c r="B104" s="73" t="s">
        <v>37</v>
      </c>
      <c r="C104" s="79">
        <v>25730</v>
      </c>
    </row>
    <row r="105" spans="1:7">
      <c r="A105" s="73" t="s">
        <v>170</v>
      </c>
      <c r="B105" s="73" t="s">
        <v>38</v>
      </c>
      <c r="C105" s="79">
        <v>9240</v>
      </c>
    </row>
    <row r="106" spans="1:7">
      <c r="A106" s="73" t="s">
        <v>171</v>
      </c>
      <c r="B106" s="73" t="s">
        <v>37</v>
      </c>
      <c r="C106" s="79">
        <v>3520</v>
      </c>
    </row>
    <row r="107" spans="1:7">
      <c r="A107" s="73" t="s">
        <v>76</v>
      </c>
      <c r="B107" s="73" t="s">
        <v>39</v>
      </c>
      <c r="C107" s="79">
        <v>115</v>
      </c>
    </row>
    <row r="108" spans="1:7">
      <c r="A108" s="73" t="s">
        <v>413</v>
      </c>
      <c r="B108" s="73" t="s">
        <v>39</v>
      </c>
      <c r="C108" s="79">
        <v>2230</v>
      </c>
    </row>
    <row r="109" spans="1:7">
      <c r="A109" s="73" t="s">
        <v>420</v>
      </c>
      <c r="B109" s="73" t="s">
        <v>39</v>
      </c>
      <c r="C109" s="79">
        <v>8900</v>
      </c>
    </row>
    <row r="110" spans="1:7">
      <c r="A110" s="73"/>
      <c r="B110" s="73"/>
      <c r="C110" s="79"/>
    </row>
    <row r="111" spans="1:7">
      <c r="A111" s="73" t="s">
        <v>172</v>
      </c>
      <c r="B111" s="73" t="s">
        <v>173</v>
      </c>
      <c r="C111" s="79">
        <v>12000</v>
      </c>
    </row>
    <row r="112" spans="1:7">
      <c r="A112" s="73" t="s">
        <v>174</v>
      </c>
      <c r="B112" s="73" t="s">
        <v>38</v>
      </c>
      <c r="C112" s="79">
        <v>3850</v>
      </c>
    </row>
    <row r="113" spans="1:10">
      <c r="A113" s="73" t="s">
        <v>175</v>
      </c>
      <c r="B113" s="73" t="s">
        <v>38</v>
      </c>
      <c r="C113" s="79">
        <v>6210</v>
      </c>
    </row>
    <row r="114" spans="1:10">
      <c r="A114" s="73" t="s">
        <v>77</v>
      </c>
      <c r="B114" s="73" t="s">
        <v>75</v>
      </c>
      <c r="C114" s="79">
        <v>4730</v>
      </c>
    </row>
    <row r="115" spans="1:10">
      <c r="A115" s="73" t="s">
        <v>459</v>
      </c>
      <c r="B115" s="73" t="s">
        <v>69</v>
      </c>
      <c r="C115" s="79">
        <v>32800</v>
      </c>
    </row>
    <row r="116" spans="1:10" ht="13.5" thickBot="1">
      <c r="A116" s="73" t="s">
        <v>176</v>
      </c>
      <c r="B116" s="73" t="s">
        <v>39</v>
      </c>
      <c r="C116" s="79">
        <v>95950</v>
      </c>
    </row>
    <row r="117" spans="1:10" ht="13.5" thickBot="1">
      <c r="A117" s="73" t="s">
        <v>177</v>
      </c>
      <c r="B117" s="73" t="s">
        <v>75</v>
      </c>
      <c r="C117" s="79">
        <v>4040</v>
      </c>
      <c r="F117" s="80" t="s">
        <v>178</v>
      </c>
      <c r="G117" s="81" t="s">
        <v>179</v>
      </c>
      <c r="H117" s="81" t="s">
        <v>180</v>
      </c>
      <c r="I117" s="81" t="s">
        <v>181</v>
      </c>
      <c r="J117" s="82" t="s">
        <v>182</v>
      </c>
    </row>
    <row r="118" spans="1:10" ht="14.25">
      <c r="A118" s="73" t="s">
        <v>183</v>
      </c>
      <c r="B118" s="73" t="s">
        <v>75</v>
      </c>
      <c r="C118" s="79">
        <v>4560</v>
      </c>
      <c r="F118" s="83">
        <v>2</v>
      </c>
      <c r="G118" s="84" t="s">
        <v>184</v>
      </c>
      <c r="H118" s="84">
        <v>6</v>
      </c>
      <c r="I118" s="84" t="s">
        <v>185</v>
      </c>
      <c r="J118" s="85">
        <v>1494</v>
      </c>
    </row>
    <row r="119" spans="1:10" ht="14.25">
      <c r="A119" s="73" t="s">
        <v>186</v>
      </c>
      <c r="B119" s="73" t="s">
        <v>75</v>
      </c>
      <c r="C119" s="79">
        <v>625</v>
      </c>
      <c r="F119" s="86">
        <v>3</v>
      </c>
      <c r="G119" s="87" t="s">
        <v>187</v>
      </c>
      <c r="H119" s="87">
        <v>6</v>
      </c>
      <c r="I119" s="87" t="s">
        <v>188</v>
      </c>
      <c r="J119" s="88" t="s">
        <v>189</v>
      </c>
    </row>
    <row r="120" spans="1:10" ht="14.25">
      <c r="A120" s="73"/>
      <c r="B120" s="73"/>
      <c r="C120" s="79"/>
      <c r="F120" s="86"/>
      <c r="G120" s="87"/>
      <c r="H120" s="87"/>
      <c r="I120" s="87"/>
      <c r="J120" s="88"/>
    </row>
    <row r="121" spans="1:10" ht="14.25">
      <c r="A121" s="73" t="s">
        <v>403</v>
      </c>
      <c r="B121" s="73" t="s">
        <v>38</v>
      </c>
      <c r="C121" s="79">
        <v>95000</v>
      </c>
      <c r="F121" s="86"/>
      <c r="G121" s="87"/>
      <c r="H121" s="87"/>
      <c r="I121" s="87"/>
      <c r="J121" s="88"/>
    </row>
    <row r="122" spans="1:10" ht="14.25">
      <c r="A122" s="73" t="s">
        <v>405</v>
      </c>
      <c r="B122" s="73" t="s">
        <v>38</v>
      </c>
      <c r="C122" s="79">
        <v>32950</v>
      </c>
      <c r="F122" s="86"/>
      <c r="G122" s="87"/>
      <c r="H122" s="87"/>
      <c r="I122" s="87"/>
      <c r="J122" s="88"/>
    </row>
    <row r="123" spans="1:10" ht="14.25">
      <c r="A123" s="73" t="s">
        <v>404</v>
      </c>
      <c r="B123" s="73" t="s">
        <v>39</v>
      </c>
      <c r="C123" s="79">
        <v>6950</v>
      </c>
      <c r="F123" s="86"/>
      <c r="G123" s="87"/>
      <c r="H123" s="87"/>
      <c r="I123" s="87"/>
      <c r="J123" s="88"/>
    </row>
    <row r="124" spans="1:10" ht="14.25">
      <c r="A124" s="73" t="s">
        <v>477</v>
      </c>
      <c r="B124" s="73" t="s">
        <v>39</v>
      </c>
      <c r="C124" s="79">
        <v>15500</v>
      </c>
      <c r="F124" s="86"/>
      <c r="G124" s="87"/>
      <c r="H124" s="87"/>
      <c r="I124" s="87"/>
      <c r="J124" s="88"/>
    </row>
    <row r="125" spans="1:10" ht="14.25">
      <c r="A125" s="73" t="s">
        <v>406</v>
      </c>
      <c r="B125" s="73" t="s">
        <v>39</v>
      </c>
      <c r="C125" s="79">
        <v>31250</v>
      </c>
      <c r="F125" s="86"/>
      <c r="G125" s="87"/>
      <c r="H125" s="87"/>
      <c r="I125" s="87"/>
      <c r="J125" s="88"/>
    </row>
    <row r="126" spans="1:10" ht="14.25">
      <c r="A126" s="73" t="s">
        <v>432</v>
      </c>
      <c r="B126" s="73" t="s">
        <v>37</v>
      </c>
      <c r="C126" s="79">
        <v>59950</v>
      </c>
      <c r="F126" s="86"/>
      <c r="G126" s="87"/>
      <c r="H126" s="87"/>
      <c r="I126" s="87"/>
      <c r="J126" s="88"/>
    </row>
    <row r="127" spans="1:10" ht="14.25">
      <c r="A127" s="73" t="s">
        <v>421</v>
      </c>
      <c r="B127" s="73" t="s">
        <v>38</v>
      </c>
      <c r="C127" s="79">
        <f>12740/2.1</f>
        <v>6066.6666666666661</v>
      </c>
      <c r="F127" s="86"/>
      <c r="G127" s="87"/>
      <c r="H127" s="87"/>
      <c r="I127" s="87"/>
      <c r="J127" s="88"/>
    </row>
    <row r="128" spans="1:10" ht="14.25">
      <c r="A128" s="73" t="s">
        <v>422</v>
      </c>
      <c r="B128" s="73" t="s">
        <v>38</v>
      </c>
      <c r="C128" s="79">
        <f>67220/2.9</f>
        <v>23179.310344827587</v>
      </c>
      <c r="F128" s="86"/>
      <c r="G128" s="87"/>
      <c r="H128" s="87"/>
      <c r="I128" s="87"/>
      <c r="J128" s="88"/>
    </row>
    <row r="129" spans="1:10" ht="14.25">
      <c r="A129" s="73" t="s">
        <v>423</v>
      </c>
      <c r="B129" s="73" t="s">
        <v>38</v>
      </c>
      <c r="C129" s="79">
        <f>38500/11</f>
        <v>3500</v>
      </c>
      <c r="F129" s="86"/>
      <c r="G129" s="87"/>
      <c r="H129" s="87"/>
      <c r="I129" s="87"/>
      <c r="J129" s="88"/>
    </row>
    <row r="130" spans="1:10" ht="14.25">
      <c r="A130" s="73" t="s">
        <v>190</v>
      </c>
      <c r="B130" s="73" t="s">
        <v>38</v>
      </c>
      <c r="C130" s="79">
        <v>57400</v>
      </c>
      <c r="F130" s="89">
        <v>4</v>
      </c>
      <c r="G130" s="90" t="s">
        <v>191</v>
      </c>
      <c r="H130" s="90">
        <v>6</v>
      </c>
      <c r="I130" s="90" t="s">
        <v>192</v>
      </c>
      <c r="J130" s="91">
        <v>5964</v>
      </c>
    </row>
    <row r="131" spans="1:10" ht="14.25">
      <c r="A131" s="73" t="s">
        <v>193</v>
      </c>
      <c r="B131" s="73" t="s">
        <v>37</v>
      </c>
      <c r="C131" s="79">
        <v>64900</v>
      </c>
      <c r="F131" s="92">
        <v>5</v>
      </c>
      <c r="G131" s="87" t="s">
        <v>194</v>
      </c>
      <c r="H131" s="87">
        <v>6</v>
      </c>
      <c r="I131" s="93">
        <v>1552</v>
      </c>
      <c r="J131" s="94">
        <v>9312</v>
      </c>
    </row>
    <row r="132" spans="1:10" ht="14.25">
      <c r="A132" s="73" t="s">
        <v>195</v>
      </c>
      <c r="B132" s="73" t="s">
        <v>39</v>
      </c>
      <c r="C132" s="79">
        <v>300</v>
      </c>
      <c r="F132" s="92">
        <v>6</v>
      </c>
      <c r="G132" s="90" t="s">
        <v>196</v>
      </c>
      <c r="H132" s="90">
        <v>6</v>
      </c>
      <c r="I132" s="95">
        <v>2235</v>
      </c>
      <c r="J132" s="96" t="s">
        <v>197</v>
      </c>
    </row>
    <row r="133" spans="1:10" ht="14.25">
      <c r="A133" s="73" t="s">
        <v>402</v>
      </c>
      <c r="B133" s="73" t="s">
        <v>39</v>
      </c>
      <c r="C133" s="79">
        <v>1750</v>
      </c>
      <c r="F133" s="92"/>
      <c r="G133" s="90"/>
      <c r="H133" s="90"/>
      <c r="I133" s="95"/>
      <c r="J133" s="96"/>
    </row>
    <row r="134" spans="1:10" ht="14.25">
      <c r="A134" s="73" t="s">
        <v>198</v>
      </c>
      <c r="B134" s="73" t="s">
        <v>39</v>
      </c>
      <c r="C134" s="79">
        <v>95</v>
      </c>
      <c r="F134" s="92">
        <v>7</v>
      </c>
      <c r="G134" s="87" t="s">
        <v>199</v>
      </c>
      <c r="H134" s="87">
        <v>6</v>
      </c>
      <c r="I134" s="93">
        <v>3042</v>
      </c>
      <c r="J134" s="94">
        <v>18252</v>
      </c>
    </row>
    <row r="135" spans="1:10" ht="14.25">
      <c r="A135" s="73" t="s">
        <v>200</v>
      </c>
      <c r="B135" s="73" t="s">
        <v>39</v>
      </c>
      <c r="C135" s="79">
        <v>22320</v>
      </c>
      <c r="F135" s="92">
        <v>8</v>
      </c>
      <c r="G135" s="90" t="s">
        <v>201</v>
      </c>
      <c r="H135" s="90">
        <v>6</v>
      </c>
      <c r="I135" s="95">
        <v>3973</v>
      </c>
      <c r="J135" s="91">
        <v>23838</v>
      </c>
    </row>
    <row r="136" spans="1:10" ht="14.25">
      <c r="A136" s="73" t="s">
        <v>79</v>
      </c>
      <c r="B136" s="73" t="s">
        <v>39</v>
      </c>
      <c r="C136" s="79">
        <v>5740</v>
      </c>
      <c r="F136" s="92"/>
      <c r="G136" s="90"/>
      <c r="H136" s="90"/>
      <c r="I136" s="95"/>
      <c r="J136" s="91"/>
    </row>
    <row r="137" spans="1:10" ht="14.25">
      <c r="A137" s="73" t="s">
        <v>80</v>
      </c>
      <c r="B137" s="73" t="s">
        <v>38</v>
      </c>
      <c r="C137" s="79">
        <v>145120</v>
      </c>
      <c r="F137" s="92"/>
      <c r="G137" s="90"/>
      <c r="H137" s="90"/>
      <c r="I137" s="95"/>
      <c r="J137" s="91"/>
    </row>
    <row r="138" spans="1:10" ht="14.25">
      <c r="A138" s="73" t="s">
        <v>202</v>
      </c>
      <c r="B138" s="73" t="s">
        <v>75</v>
      </c>
      <c r="C138" s="79">
        <v>14134</v>
      </c>
      <c r="F138" s="92">
        <v>9</v>
      </c>
      <c r="G138" s="87" t="s">
        <v>203</v>
      </c>
      <c r="H138" s="87">
        <v>6</v>
      </c>
      <c r="I138" s="93">
        <v>5060</v>
      </c>
      <c r="J138" s="88" t="s">
        <v>204</v>
      </c>
    </row>
    <row r="139" spans="1:10" ht="14.25">
      <c r="A139" s="73" t="s">
        <v>205</v>
      </c>
      <c r="B139" s="73" t="s">
        <v>39</v>
      </c>
      <c r="C139" s="79">
        <v>10300</v>
      </c>
      <c r="F139" s="92">
        <v>10</v>
      </c>
      <c r="G139" s="90" t="s">
        <v>206</v>
      </c>
      <c r="H139" s="90">
        <v>6</v>
      </c>
      <c r="I139" s="95">
        <v>6404</v>
      </c>
      <c r="J139" s="91">
        <v>38424</v>
      </c>
    </row>
    <row r="140" spans="1:10" ht="14.25">
      <c r="A140" s="73" t="s">
        <v>207</v>
      </c>
      <c r="B140" s="73" t="s">
        <v>38</v>
      </c>
      <c r="C140" s="79">
        <v>38000</v>
      </c>
      <c r="F140" s="92">
        <v>11</v>
      </c>
      <c r="G140" s="87" t="s">
        <v>208</v>
      </c>
      <c r="H140" s="87">
        <v>6</v>
      </c>
      <c r="I140" s="93">
        <v>7907</v>
      </c>
      <c r="J140" s="94">
        <v>47442</v>
      </c>
    </row>
    <row r="141" spans="1:10" ht="15" thickBot="1">
      <c r="A141" s="73" t="s">
        <v>209</v>
      </c>
      <c r="B141" s="73" t="s">
        <v>39</v>
      </c>
      <c r="C141" s="79">
        <v>220</v>
      </c>
      <c r="F141" s="97">
        <v>12</v>
      </c>
      <c r="G141" s="98" t="s">
        <v>210</v>
      </c>
      <c r="H141" s="98">
        <v>6</v>
      </c>
      <c r="I141" s="99">
        <v>8938</v>
      </c>
      <c r="J141" s="100">
        <v>53628</v>
      </c>
    </row>
    <row r="142" spans="1:10">
      <c r="A142" s="73" t="s">
        <v>211</v>
      </c>
      <c r="B142" s="73" t="s">
        <v>212</v>
      </c>
      <c r="C142" s="79">
        <v>3240</v>
      </c>
    </row>
    <row r="143" spans="1:10">
      <c r="A143" s="73" t="s">
        <v>213</v>
      </c>
      <c r="B143" s="73" t="s">
        <v>38</v>
      </c>
      <c r="C143" s="79">
        <v>12000</v>
      </c>
    </row>
    <row r="144" spans="1:10">
      <c r="A144" s="73" t="s">
        <v>214</v>
      </c>
      <c r="B144" s="73" t="s">
        <v>39</v>
      </c>
      <c r="C144" s="79">
        <v>8860</v>
      </c>
    </row>
    <row r="145" spans="1:3">
      <c r="A145" s="73" t="s">
        <v>215</v>
      </c>
      <c r="B145" s="73" t="s">
        <v>39</v>
      </c>
      <c r="C145" s="79">
        <v>2500</v>
      </c>
    </row>
    <row r="146" spans="1:3">
      <c r="A146" s="73" t="s">
        <v>216</v>
      </c>
      <c r="B146" s="73" t="s">
        <v>39</v>
      </c>
      <c r="C146" s="79">
        <v>3000</v>
      </c>
    </row>
    <row r="147" spans="1:3">
      <c r="A147" s="73" t="s">
        <v>217</v>
      </c>
      <c r="B147" s="73" t="s">
        <v>73</v>
      </c>
      <c r="C147" s="79">
        <v>2500</v>
      </c>
    </row>
    <row r="148" spans="1:3">
      <c r="A148" s="73" t="s">
        <v>218</v>
      </c>
      <c r="B148" s="73" t="s">
        <v>39</v>
      </c>
      <c r="C148" s="79">
        <v>4700</v>
      </c>
    </row>
    <row r="149" spans="1:3">
      <c r="A149" s="73" t="s">
        <v>412</v>
      </c>
      <c r="B149" s="73" t="s">
        <v>39</v>
      </c>
      <c r="C149" s="79">
        <v>208740</v>
      </c>
    </row>
    <row r="150" spans="1:3">
      <c r="A150" s="73" t="s">
        <v>430</v>
      </c>
      <c r="B150" s="73" t="s">
        <v>38</v>
      </c>
      <c r="C150" s="79">
        <f>71620/6</f>
        <v>11936.666666666666</v>
      </c>
    </row>
    <row r="151" spans="1:3">
      <c r="A151" s="73" t="s">
        <v>431</v>
      </c>
      <c r="B151" s="73" t="s">
        <v>38</v>
      </c>
      <c r="C151" s="79">
        <f>36120/6</f>
        <v>6020</v>
      </c>
    </row>
    <row r="152" spans="1:3">
      <c r="A152" s="73" t="s">
        <v>219</v>
      </c>
      <c r="B152" s="73" t="s">
        <v>75</v>
      </c>
      <c r="C152" s="79">
        <v>4200</v>
      </c>
    </row>
    <row r="153" spans="1:3">
      <c r="A153" s="73" t="s">
        <v>220</v>
      </c>
      <c r="B153" s="73" t="s">
        <v>37</v>
      </c>
      <c r="C153" s="79">
        <v>5835</v>
      </c>
    </row>
    <row r="154" spans="1:3">
      <c r="A154" s="73" t="s">
        <v>221</v>
      </c>
      <c r="B154" s="73" t="s">
        <v>75</v>
      </c>
      <c r="C154" s="79">
        <v>5720</v>
      </c>
    </row>
    <row r="155" spans="1:3">
      <c r="A155" s="73" t="s">
        <v>222</v>
      </c>
      <c r="B155" s="73" t="s">
        <v>39</v>
      </c>
      <c r="C155" s="79">
        <v>75900</v>
      </c>
    </row>
    <row r="156" spans="1:3">
      <c r="A156" s="73" t="s">
        <v>223</v>
      </c>
      <c r="B156" s="73" t="s">
        <v>75</v>
      </c>
      <c r="C156" s="79">
        <v>7100</v>
      </c>
    </row>
    <row r="157" spans="1:3">
      <c r="A157" s="73" t="s">
        <v>224</v>
      </c>
      <c r="B157" s="73" t="s">
        <v>39</v>
      </c>
      <c r="C157" s="79">
        <v>9500</v>
      </c>
    </row>
    <row r="158" spans="1:3">
      <c r="A158" s="73" t="s">
        <v>225</v>
      </c>
      <c r="B158" s="73" t="s">
        <v>92</v>
      </c>
      <c r="C158" s="79">
        <v>13600</v>
      </c>
    </row>
    <row r="159" spans="1:3">
      <c r="A159" s="73" t="s">
        <v>226</v>
      </c>
      <c r="B159" s="73" t="s">
        <v>63</v>
      </c>
      <c r="C159" s="79">
        <v>75000</v>
      </c>
    </row>
    <row r="160" spans="1:3">
      <c r="A160" s="73" t="s">
        <v>227</v>
      </c>
      <c r="B160" s="73" t="s">
        <v>75</v>
      </c>
      <c r="C160" s="79">
        <v>6200</v>
      </c>
    </row>
    <row r="161" spans="1:3">
      <c r="A161" s="73" t="s">
        <v>64</v>
      </c>
      <c r="B161" s="73" t="s">
        <v>75</v>
      </c>
      <c r="C161" s="79">
        <v>7250</v>
      </c>
    </row>
    <row r="162" spans="1:3">
      <c r="A162" s="73" t="s">
        <v>228</v>
      </c>
      <c r="B162" s="73" t="s">
        <v>37</v>
      </c>
      <c r="C162" s="79">
        <v>40000</v>
      </c>
    </row>
    <row r="163" spans="1:3">
      <c r="A163" s="73" t="s">
        <v>229</v>
      </c>
      <c r="B163" s="73" t="s">
        <v>63</v>
      </c>
      <c r="C163" s="79">
        <v>30000</v>
      </c>
    </row>
    <row r="164" spans="1:3">
      <c r="A164" s="73" t="s">
        <v>230</v>
      </c>
      <c r="B164" s="73" t="s">
        <v>38</v>
      </c>
      <c r="C164" s="79">
        <v>4800</v>
      </c>
    </row>
    <row r="165" spans="1:3">
      <c r="A165" s="73" t="s">
        <v>231</v>
      </c>
      <c r="B165" s="73" t="s">
        <v>39</v>
      </c>
      <c r="C165" s="79">
        <v>8530</v>
      </c>
    </row>
    <row r="166" spans="1:3">
      <c r="A166" s="73" t="s">
        <v>232</v>
      </c>
      <c r="B166" s="73" t="s">
        <v>38</v>
      </c>
      <c r="C166" s="79">
        <v>2500</v>
      </c>
    </row>
    <row r="167" spans="1:3">
      <c r="A167" s="73" t="s">
        <v>233</v>
      </c>
      <c r="B167" s="73" t="s">
        <v>39</v>
      </c>
      <c r="C167" s="79">
        <v>35000</v>
      </c>
    </row>
    <row r="168" spans="1:3">
      <c r="A168" s="73" t="s">
        <v>234</v>
      </c>
      <c r="B168" s="73" t="s">
        <v>37</v>
      </c>
      <c r="C168" s="79">
        <v>1700</v>
      </c>
    </row>
    <row r="169" spans="1:3">
      <c r="A169" s="73" t="s">
        <v>235</v>
      </c>
      <c r="B169" s="73" t="s">
        <v>37</v>
      </c>
      <c r="C169" s="79">
        <v>19830</v>
      </c>
    </row>
    <row r="170" spans="1:3">
      <c r="A170" s="73" t="s">
        <v>236</v>
      </c>
      <c r="B170" s="73" t="s">
        <v>38</v>
      </c>
      <c r="C170" s="79">
        <v>19100</v>
      </c>
    </row>
    <row r="171" spans="1:3">
      <c r="A171" s="73" t="s">
        <v>470</v>
      </c>
      <c r="B171" s="73" t="s">
        <v>38</v>
      </c>
      <c r="C171" s="79">
        <v>7400</v>
      </c>
    </row>
    <row r="172" spans="1:3">
      <c r="A172" s="73" t="s">
        <v>471</v>
      </c>
      <c r="B172" s="73" t="s">
        <v>38</v>
      </c>
      <c r="C172" s="79">
        <v>6800</v>
      </c>
    </row>
    <row r="173" spans="1:3">
      <c r="A173" s="73" t="s">
        <v>472</v>
      </c>
      <c r="B173" s="73" t="s">
        <v>38</v>
      </c>
      <c r="C173" s="79">
        <v>5200</v>
      </c>
    </row>
    <row r="174" spans="1:3">
      <c r="A174" s="73" t="s">
        <v>500</v>
      </c>
      <c r="B174" s="73" t="s">
        <v>39</v>
      </c>
      <c r="C174" s="79">
        <v>172300</v>
      </c>
    </row>
    <row r="175" spans="1:3">
      <c r="A175" s="73"/>
      <c r="B175" s="73"/>
      <c r="C175" s="79"/>
    </row>
    <row r="176" spans="1:3">
      <c r="A176" s="73"/>
      <c r="B176" s="73"/>
      <c r="C176" s="79"/>
    </row>
    <row r="177" spans="1:6">
      <c r="A177" s="73" t="s">
        <v>237</v>
      </c>
      <c r="B177" s="73" t="s">
        <v>75</v>
      </c>
      <c r="C177" s="79">
        <v>18500</v>
      </c>
    </row>
    <row r="178" spans="1:6">
      <c r="A178" s="73" t="s">
        <v>238</v>
      </c>
      <c r="B178" s="73" t="s">
        <v>75</v>
      </c>
      <c r="C178" s="79">
        <v>5000</v>
      </c>
      <c r="E178" s="52">
        <v>87000</v>
      </c>
      <c r="F178" s="52">
        <f>E178/6</f>
        <v>14500</v>
      </c>
    </row>
    <row r="179" spans="1:6">
      <c r="A179" s="73" t="s">
        <v>474</v>
      </c>
      <c r="B179" s="73" t="s">
        <v>38</v>
      </c>
      <c r="C179" s="79">
        <v>35000</v>
      </c>
    </row>
    <row r="180" spans="1:6">
      <c r="A180" s="73" t="s">
        <v>239</v>
      </c>
      <c r="B180" s="73" t="s">
        <v>38</v>
      </c>
      <c r="C180" s="79">
        <v>18500</v>
      </c>
    </row>
    <row r="181" spans="1:6">
      <c r="A181" s="73" t="s">
        <v>457</v>
      </c>
      <c r="B181" s="73" t="s">
        <v>37</v>
      </c>
      <c r="C181" s="79">
        <v>14800</v>
      </c>
    </row>
    <row r="182" spans="1:6">
      <c r="A182" s="73"/>
      <c r="B182" s="73"/>
      <c r="C182" s="79"/>
    </row>
    <row r="183" spans="1:6">
      <c r="A183" s="73" t="s">
        <v>240</v>
      </c>
      <c r="B183" s="73" t="s">
        <v>39</v>
      </c>
      <c r="C183" s="79">
        <v>44400</v>
      </c>
    </row>
    <row r="184" spans="1:6">
      <c r="A184" s="73" t="s">
        <v>241</v>
      </c>
      <c r="B184" s="73" t="s">
        <v>69</v>
      </c>
      <c r="C184" s="79">
        <v>9500</v>
      </c>
    </row>
    <row r="185" spans="1:6">
      <c r="A185" s="73" t="s">
        <v>242</v>
      </c>
      <c r="B185" s="73" t="s">
        <v>69</v>
      </c>
      <c r="C185" s="79">
        <v>10100</v>
      </c>
    </row>
    <row r="186" spans="1:6">
      <c r="A186" s="73" t="s">
        <v>243</v>
      </c>
      <c r="B186" s="73" t="s">
        <v>2</v>
      </c>
      <c r="C186" s="79">
        <v>16500</v>
      </c>
    </row>
    <row r="187" spans="1:6">
      <c r="A187" s="73" t="s">
        <v>244</v>
      </c>
      <c r="B187" s="73" t="s">
        <v>37</v>
      </c>
      <c r="C187" s="79">
        <v>4350</v>
      </c>
    </row>
    <row r="188" spans="1:6">
      <c r="A188" s="73" t="s">
        <v>245</v>
      </c>
      <c r="B188" s="73" t="s">
        <v>2</v>
      </c>
      <c r="C188" s="79">
        <v>20000</v>
      </c>
    </row>
    <row r="189" spans="1:6">
      <c r="A189" s="73" t="s">
        <v>246</v>
      </c>
      <c r="B189" s="73" t="s">
        <v>2</v>
      </c>
      <c r="C189" s="79">
        <v>23100</v>
      </c>
    </row>
    <row r="190" spans="1:6" ht="25.5">
      <c r="A190" s="101" t="s">
        <v>247</v>
      </c>
      <c r="B190" s="73" t="s">
        <v>37</v>
      </c>
      <c r="C190" s="79">
        <v>61130</v>
      </c>
    </row>
    <row r="191" spans="1:6">
      <c r="A191" s="101"/>
      <c r="B191" s="73"/>
      <c r="C191" s="79"/>
    </row>
    <row r="192" spans="1:6">
      <c r="A192" s="73" t="s">
        <v>248</v>
      </c>
      <c r="B192" s="73" t="s">
        <v>38</v>
      </c>
      <c r="C192" s="79">
        <v>7560</v>
      </c>
    </row>
    <row r="193" spans="1:3">
      <c r="A193" s="73" t="s">
        <v>249</v>
      </c>
      <c r="B193" s="73" t="s">
        <v>39</v>
      </c>
      <c r="C193" s="79">
        <v>7120</v>
      </c>
    </row>
    <row r="194" spans="1:3">
      <c r="A194" s="73" t="s">
        <v>250</v>
      </c>
      <c r="B194" s="73" t="s">
        <v>39</v>
      </c>
      <c r="C194" s="79">
        <v>2120</v>
      </c>
    </row>
    <row r="195" spans="1:3">
      <c r="A195" s="73" t="s">
        <v>251</v>
      </c>
      <c r="B195" s="73" t="s">
        <v>39</v>
      </c>
      <c r="C195" s="79">
        <v>2120</v>
      </c>
    </row>
    <row r="196" spans="1:3">
      <c r="A196" s="73" t="s">
        <v>252</v>
      </c>
      <c r="B196" s="73" t="s">
        <v>39</v>
      </c>
      <c r="C196" s="79">
        <v>900</v>
      </c>
    </row>
    <row r="197" spans="1:3">
      <c r="A197" s="73" t="s">
        <v>253</v>
      </c>
      <c r="B197" s="73" t="s">
        <v>2</v>
      </c>
      <c r="C197" s="79">
        <v>1630</v>
      </c>
    </row>
    <row r="198" spans="1:3">
      <c r="A198" s="73" t="s">
        <v>254</v>
      </c>
      <c r="B198" s="73" t="s">
        <v>39</v>
      </c>
      <c r="C198" s="79">
        <v>750</v>
      </c>
    </row>
    <row r="199" spans="1:3">
      <c r="A199" s="73" t="s">
        <v>255</v>
      </c>
      <c r="B199" s="73" t="s">
        <v>39</v>
      </c>
      <c r="C199" s="79">
        <v>450</v>
      </c>
    </row>
    <row r="200" spans="1:3">
      <c r="A200" s="73" t="s">
        <v>256</v>
      </c>
      <c r="B200" s="73" t="s">
        <v>512</v>
      </c>
      <c r="C200" s="79">
        <v>37950</v>
      </c>
    </row>
    <row r="201" spans="1:3">
      <c r="A201" s="73" t="s">
        <v>257</v>
      </c>
      <c r="B201" s="73" t="s">
        <v>512</v>
      </c>
      <c r="C201" s="79">
        <v>62120</v>
      </c>
    </row>
    <row r="202" spans="1:3">
      <c r="A202" s="73" t="s">
        <v>258</v>
      </c>
      <c r="B202" s="73" t="s">
        <v>39</v>
      </c>
      <c r="C202" s="79">
        <v>12110</v>
      </c>
    </row>
    <row r="203" spans="1:3">
      <c r="A203" s="73" t="s">
        <v>259</v>
      </c>
      <c r="B203" s="73" t="s">
        <v>39</v>
      </c>
      <c r="C203" s="79">
        <v>30220</v>
      </c>
    </row>
    <row r="204" spans="1:3">
      <c r="A204" s="73" t="s">
        <v>260</v>
      </c>
      <c r="B204" s="73" t="s">
        <v>39</v>
      </c>
      <c r="C204" s="79">
        <v>3620</v>
      </c>
    </row>
    <row r="205" spans="1:3">
      <c r="A205" s="73" t="s">
        <v>261</v>
      </c>
      <c r="B205" s="73" t="s">
        <v>2</v>
      </c>
      <c r="C205" s="79">
        <v>2740</v>
      </c>
    </row>
    <row r="206" spans="1:3">
      <c r="A206" s="73" t="s">
        <v>262</v>
      </c>
      <c r="B206" s="73" t="s">
        <v>39</v>
      </c>
      <c r="C206" s="79">
        <v>1220</v>
      </c>
    </row>
    <row r="207" spans="1:3">
      <c r="A207" s="73" t="s">
        <v>263</v>
      </c>
      <c r="B207" s="73" t="s">
        <v>39</v>
      </c>
      <c r="C207" s="79">
        <v>17550</v>
      </c>
    </row>
    <row r="208" spans="1:3">
      <c r="A208" s="73" t="s">
        <v>264</v>
      </c>
      <c r="B208" s="73" t="s">
        <v>2</v>
      </c>
      <c r="C208" s="79">
        <f>C197*1.5</f>
        <v>2445</v>
      </c>
    </row>
    <row r="209" spans="1:3">
      <c r="A209" s="73" t="s">
        <v>265</v>
      </c>
      <c r="B209" s="73" t="s">
        <v>39</v>
      </c>
      <c r="C209" s="79">
        <f>C198*1.5</f>
        <v>1125</v>
      </c>
    </row>
    <row r="210" spans="1:3">
      <c r="A210" s="73" t="s">
        <v>266</v>
      </c>
      <c r="B210" s="73" t="s">
        <v>39</v>
      </c>
      <c r="C210" s="79">
        <f>C199*1.5</f>
        <v>675</v>
      </c>
    </row>
    <row r="211" spans="1:3">
      <c r="A211" s="73" t="s">
        <v>267</v>
      </c>
      <c r="B211" s="73" t="s">
        <v>2</v>
      </c>
      <c r="C211" s="79">
        <v>4256</v>
      </c>
    </row>
    <row r="212" spans="1:3">
      <c r="A212" s="73" t="s">
        <v>268</v>
      </c>
      <c r="B212" s="73" t="s">
        <v>2</v>
      </c>
      <c r="C212" s="79">
        <v>9240</v>
      </c>
    </row>
    <row r="213" spans="1:3">
      <c r="A213" s="73" t="s">
        <v>269</v>
      </c>
      <c r="B213" s="73" t="s">
        <v>39</v>
      </c>
      <c r="C213" s="79">
        <v>178760</v>
      </c>
    </row>
    <row r="214" spans="1:3">
      <c r="A214" s="52" t="s">
        <v>270</v>
      </c>
      <c r="B214" s="73" t="s">
        <v>39</v>
      </c>
      <c r="C214" s="79">
        <v>19600</v>
      </c>
    </row>
    <row r="215" spans="1:3">
      <c r="A215" s="73" t="s">
        <v>271</v>
      </c>
      <c r="B215" s="73" t="s">
        <v>39</v>
      </c>
      <c r="C215" s="79">
        <v>10000</v>
      </c>
    </row>
    <row r="216" spans="1:3">
      <c r="A216" s="73" t="s">
        <v>272</v>
      </c>
      <c r="B216" s="73" t="s">
        <v>39</v>
      </c>
      <c r="C216" s="79">
        <v>14150</v>
      </c>
    </row>
    <row r="217" spans="1:3">
      <c r="A217" s="73" t="s">
        <v>273</v>
      </c>
      <c r="B217" s="73" t="s">
        <v>39</v>
      </c>
      <c r="C217" s="79">
        <v>19500</v>
      </c>
    </row>
    <row r="218" spans="1:3">
      <c r="A218" s="73" t="s">
        <v>274</v>
      </c>
      <c r="B218" s="73" t="s">
        <v>39</v>
      </c>
      <c r="C218" s="79">
        <v>15400</v>
      </c>
    </row>
    <row r="219" spans="1:3">
      <c r="A219" s="73" t="s">
        <v>275</v>
      </c>
      <c r="B219" s="73" t="s">
        <v>39</v>
      </c>
      <c r="C219" s="79">
        <v>75000</v>
      </c>
    </row>
    <row r="220" spans="1:3">
      <c r="A220" s="52" t="s">
        <v>276</v>
      </c>
      <c r="B220" s="73" t="s">
        <v>39</v>
      </c>
      <c r="C220" s="79">
        <v>12330</v>
      </c>
    </row>
    <row r="221" spans="1:3">
      <c r="A221" s="73" t="s">
        <v>277</v>
      </c>
      <c r="B221" s="73" t="s">
        <v>39</v>
      </c>
      <c r="C221" s="79">
        <v>19840</v>
      </c>
    </row>
    <row r="222" spans="1:3">
      <c r="A222" s="73" t="s">
        <v>491</v>
      </c>
      <c r="B222" s="73" t="s">
        <v>39</v>
      </c>
      <c r="C222" s="79">
        <v>61900</v>
      </c>
    </row>
    <row r="223" spans="1:3">
      <c r="A223" s="73" t="s">
        <v>278</v>
      </c>
      <c r="B223" s="73" t="s">
        <v>39</v>
      </c>
      <c r="C223" s="79">
        <v>22210</v>
      </c>
    </row>
    <row r="224" spans="1:3">
      <c r="A224" s="73" t="s">
        <v>492</v>
      </c>
      <c r="B224" s="73" t="s">
        <v>39</v>
      </c>
      <c r="C224" s="79">
        <v>26900</v>
      </c>
    </row>
    <row r="225" spans="1:3">
      <c r="A225" s="73" t="s">
        <v>279</v>
      </c>
      <c r="B225" s="73" t="s">
        <v>39</v>
      </c>
      <c r="C225" s="79">
        <v>130760</v>
      </c>
    </row>
    <row r="226" spans="1:3">
      <c r="A226" s="73" t="s">
        <v>280</v>
      </c>
      <c r="B226" s="73" t="s">
        <v>39</v>
      </c>
      <c r="C226" s="79">
        <v>9160</v>
      </c>
    </row>
    <row r="227" spans="1:3">
      <c r="A227" s="73" t="s">
        <v>414</v>
      </c>
      <c r="B227" s="73" t="s">
        <v>39</v>
      </c>
      <c r="C227" s="79">
        <v>185620</v>
      </c>
    </row>
    <row r="228" spans="1:3">
      <c r="A228" s="73" t="s">
        <v>511</v>
      </c>
      <c r="B228" s="73" t="s">
        <v>39</v>
      </c>
      <c r="C228" s="79">
        <v>180900</v>
      </c>
    </row>
    <row r="229" spans="1:3">
      <c r="A229" s="73" t="s">
        <v>493</v>
      </c>
      <c r="B229" s="73" t="s">
        <v>39</v>
      </c>
      <c r="C229" s="79">
        <v>40200</v>
      </c>
    </row>
    <row r="230" spans="1:3">
      <c r="A230" s="73"/>
      <c r="B230" s="73"/>
      <c r="C230" s="79"/>
    </row>
    <row r="231" spans="1:3">
      <c r="A231" s="73" t="s">
        <v>281</v>
      </c>
      <c r="B231" s="73" t="s">
        <v>39</v>
      </c>
      <c r="C231" s="79">
        <v>17620</v>
      </c>
    </row>
    <row r="232" spans="1:3">
      <c r="A232" s="73" t="s">
        <v>282</v>
      </c>
      <c r="B232" s="73" t="s">
        <v>38</v>
      </c>
      <c r="C232" s="79">
        <v>4830</v>
      </c>
    </row>
    <row r="233" spans="1:3">
      <c r="A233" s="73" t="s">
        <v>283</v>
      </c>
      <c r="B233" s="73" t="s">
        <v>39</v>
      </c>
      <c r="C233" s="79">
        <v>2700</v>
      </c>
    </row>
    <row r="234" spans="1:3">
      <c r="A234" s="73"/>
      <c r="B234" s="73"/>
      <c r="C234" s="79"/>
    </row>
    <row r="235" spans="1:3">
      <c r="A235" s="73" t="s">
        <v>284</v>
      </c>
      <c r="B235" s="73" t="s">
        <v>38</v>
      </c>
      <c r="C235" s="79">
        <v>5960</v>
      </c>
    </row>
    <row r="236" spans="1:3">
      <c r="A236" s="73" t="s">
        <v>285</v>
      </c>
      <c r="B236" s="73" t="s">
        <v>39</v>
      </c>
      <c r="C236" s="79">
        <v>4500</v>
      </c>
    </row>
    <row r="237" spans="1:3">
      <c r="A237" s="73"/>
      <c r="B237" s="73"/>
      <c r="C237" s="79"/>
    </row>
    <row r="238" spans="1:3">
      <c r="A238" s="73" t="s">
        <v>286</v>
      </c>
      <c r="B238" s="73" t="s">
        <v>38</v>
      </c>
      <c r="C238" s="79">
        <v>6870</v>
      </c>
    </row>
    <row r="239" spans="1:3">
      <c r="A239" s="73" t="s">
        <v>287</v>
      </c>
      <c r="B239" s="73" t="s">
        <v>39</v>
      </c>
      <c r="C239" s="79">
        <v>5200</v>
      </c>
    </row>
    <row r="240" spans="1:3">
      <c r="A240" s="73"/>
      <c r="B240" s="73"/>
      <c r="C240" s="79"/>
    </row>
    <row r="241" spans="1:3">
      <c r="A241" s="73" t="s">
        <v>288</v>
      </c>
      <c r="B241" s="73" t="s">
        <v>38</v>
      </c>
      <c r="C241" s="79">
        <v>7900</v>
      </c>
    </row>
    <row r="242" spans="1:3">
      <c r="A242" s="73" t="s">
        <v>289</v>
      </c>
      <c r="B242" s="73" t="s">
        <v>39</v>
      </c>
      <c r="C242" s="79">
        <v>8400</v>
      </c>
    </row>
    <row r="243" spans="1:3">
      <c r="A243" s="73"/>
      <c r="B243" s="73"/>
      <c r="C243" s="79"/>
    </row>
    <row r="244" spans="1:3">
      <c r="A244" s="73" t="s">
        <v>290</v>
      </c>
      <c r="B244" s="73" t="s">
        <v>38</v>
      </c>
      <c r="C244" s="79">
        <v>9800</v>
      </c>
    </row>
    <row r="245" spans="1:3">
      <c r="A245" s="73" t="s">
        <v>291</v>
      </c>
      <c r="B245" s="73" t="s">
        <v>39</v>
      </c>
      <c r="C245" s="79">
        <v>10400</v>
      </c>
    </row>
    <row r="246" spans="1:3">
      <c r="A246" s="73"/>
      <c r="B246" s="73"/>
      <c r="C246" s="79"/>
    </row>
    <row r="247" spans="1:3">
      <c r="A247" s="73" t="s">
        <v>292</v>
      </c>
      <c r="B247" s="73" t="s">
        <v>39</v>
      </c>
      <c r="C247" s="79">
        <v>48570</v>
      </c>
    </row>
    <row r="248" spans="1:3">
      <c r="A248" s="73" t="s">
        <v>293</v>
      </c>
      <c r="B248" s="73" t="s">
        <v>39</v>
      </c>
      <c r="C248" s="79">
        <v>75840</v>
      </c>
    </row>
    <row r="249" spans="1:3">
      <c r="A249" s="73"/>
      <c r="B249" s="73"/>
      <c r="C249" s="79"/>
    </row>
    <row r="250" spans="1:3">
      <c r="A250" s="73" t="s">
        <v>294</v>
      </c>
      <c r="B250" s="73" t="s">
        <v>39</v>
      </c>
      <c r="C250" s="79">
        <v>3700</v>
      </c>
    </row>
    <row r="251" spans="1:3">
      <c r="A251" s="73" t="s">
        <v>295</v>
      </c>
      <c r="B251" s="73" t="s">
        <v>39</v>
      </c>
      <c r="C251" s="79">
        <v>750</v>
      </c>
    </row>
    <row r="252" spans="1:3">
      <c r="A252" s="73" t="s">
        <v>296</v>
      </c>
      <c r="B252" s="73" t="s">
        <v>39</v>
      </c>
      <c r="C252" s="79">
        <v>750</v>
      </c>
    </row>
    <row r="253" spans="1:3">
      <c r="A253" s="73" t="s">
        <v>297</v>
      </c>
      <c r="B253" s="73" t="s">
        <v>39</v>
      </c>
      <c r="C253" s="79">
        <v>67460</v>
      </c>
    </row>
    <row r="254" spans="1:3">
      <c r="A254" s="73"/>
      <c r="B254" s="73"/>
      <c r="C254" s="79"/>
    </row>
    <row r="255" spans="1:3">
      <c r="A255" s="73" t="s">
        <v>481</v>
      </c>
      <c r="B255" s="73" t="s">
        <v>38</v>
      </c>
      <c r="C255" s="79">
        <v>12000</v>
      </c>
    </row>
    <row r="256" spans="1:3">
      <c r="A256" s="73" t="s">
        <v>482</v>
      </c>
      <c r="B256" s="73" t="s">
        <v>39</v>
      </c>
      <c r="C256" s="79">
        <v>9870</v>
      </c>
    </row>
    <row r="257" spans="1:3">
      <c r="A257" s="73" t="s">
        <v>298</v>
      </c>
      <c r="B257" s="73" t="s">
        <v>39</v>
      </c>
      <c r="C257" s="79">
        <v>5330</v>
      </c>
    </row>
    <row r="258" spans="1:3">
      <c r="A258" s="73" t="s">
        <v>299</v>
      </c>
      <c r="B258" s="73" t="s">
        <v>38</v>
      </c>
      <c r="C258" s="79">
        <v>7450</v>
      </c>
    </row>
    <row r="259" spans="1:3">
      <c r="A259" s="73"/>
      <c r="B259" s="73"/>
      <c r="C259" s="79"/>
    </row>
    <row r="260" spans="1:3">
      <c r="A260" s="73" t="s">
        <v>300</v>
      </c>
      <c r="B260" s="73" t="s">
        <v>39</v>
      </c>
      <c r="C260" s="79">
        <v>2130</v>
      </c>
    </row>
    <row r="261" spans="1:3">
      <c r="A261" s="73" t="s">
        <v>301</v>
      </c>
      <c r="B261" s="73" t="s">
        <v>39</v>
      </c>
      <c r="C261" s="79">
        <v>2850</v>
      </c>
    </row>
    <row r="262" spans="1:3">
      <c r="A262" s="73" t="s">
        <v>302</v>
      </c>
      <c r="B262" s="73" t="s">
        <v>38</v>
      </c>
      <c r="C262" s="79">
        <v>37210</v>
      </c>
    </row>
    <row r="263" spans="1:3">
      <c r="A263" s="73"/>
      <c r="B263" s="73"/>
      <c r="C263" s="79"/>
    </row>
    <row r="264" spans="1:3">
      <c r="A264" s="73" t="s">
        <v>303</v>
      </c>
      <c r="B264" s="73" t="s">
        <v>39</v>
      </c>
      <c r="C264" s="79">
        <v>9860</v>
      </c>
    </row>
    <row r="265" spans="1:3">
      <c r="A265" s="73" t="s">
        <v>304</v>
      </c>
      <c r="B265" s="73" t="s">
        <v>38</v>
      </c>
      <c r="C265" s="79">
        <v>11460</v>
      </c>
    </row>
    <row r="266" spans="1:3">
      <c r="A266" s="73" t="s">
        <v>305</v>
      </c>
      <c r="B266" s="73" t="s">
        <v>39</v>
      </c>
      <c r="C266" s="79">
        <v>14970</v>
      </c>
    </row>
    <row r="267" spans="1:3">
      <c r="A267" s="73" t="s">
        <v>306</v>
      </c>
      <c r="B267" s="73" t="s">
        <v>38</v>
      </c>
      <c r="C267" s="79">
        <v>14120</v>
      </c>
    </row>
    <row r="268" spans="1:3">
      <c r="A268" s="73"/>
      <c r="B268" s="73"/>
      <c r="C268" s="79"/>
    </row>
    <row r="269" spans="1:3">
      <c r="A269" s="73" t="s">
        <v>307</v>
      </c>
      <c r="B269" s="73" t="s">
        <v>39</v>
      </c>
      <c r="C269" s="79">
        <v>67850</v>
      </c>
    </row>
    <row r="270" spans="1:3">
      <c r="A270" s="73" t="s">
        <v>308</v>
      </c>
      <c r="B270" s="73" t="s">
        <v>39</v>
      </c>
      <c r="C270" s="79">
        <v>49660</v>
      </c>
    </row>
    <row r="271" spans="1:3">
      <c r="A271" s="73"/>
      <c r="B271" s="73"/>
      <c r="C271" s="79"/>
    </row>
    <row r="272" spans="1:3">
      <c r="A272" s="73" t="s">
        <v>309</v>
      </c>
      <c r="B272" s="73" t="s">
        <v>39</v>
      </c>
      <c r="C272" s="79">
        <v>180000</v>
      </c>
    </row>
    <row r="273" spans="1:3">
      <c r="A273" s="73" t="s">
        <v>310</v>
      </c>
      <c r="B273" s="73" t="s">
        <v>39</v>
      </c>
      <c r="C273" s="79">
        <v>210000</v>
      </c>
    </row>
    <row r="274" spans="1:3">
      <c r="A274" s="52" t="s">
        <v>311</v>
      </c>
      <c r="B274" s="73" t="s">
        <v>39</v>
      </c>
      <c r="C274" s="79">
        <v>240000</v>
      </c>
    </row>
    <row r="275" spans="1:3">
      <c r="A275" s="73" t="s">
        <v>312</v>
      </c>
      <c r="B275" s="73" t="s">
        <v>39</v>
      </c>
      <c r="C275" s="79">
        <v>307000</v>
      </c>
    </row>
    <row r="276" spans="1:3">
      <c r="A276" s="73" t="s">
        <v>427</v>
      </c>
      <c r="B276" s="73" t="s">
        <v>39</v>
      </c>
      <c r="C276" s="79">
        <v>638740</v>
      </c>
    </row>
    <row r="277" spans="1:3">
      <c r="A277" s="73" t="s">
        <v>313</v>
      </c>
      <c r="B277" s="73" t="s">
        <v>39</v>
      </c>
      <c r="C277" s="79">
        <v>362000</v>
      </c>
    </row>
    <row r="278" spans="1:3">
      <c r="A278" s="73" t="s">
        <v>314</v>
      </c>
      <c r="B278" s="73" t="s">
        <v>39</v>
      </c>
      <c r="C278" s="79">
        <v>535000</v>
      </c>
    </row>
    <row r="279" spans="1:3">
      <c r="A279" s="73" t="s">
        <v>315</v>
      </c>
      <c r="B279" s="73" t="s">
        <v>39</v>
      </c>
      <c r="C279" s="79">
        <v>594000</v>
      </c>
    </row>
    <row r="280" spans="1:3">
      <c r="A280" s="73"/>
      <c r="B280" s="73"/>
      <c r="C280" s="79"/>
    </row>
    <row r="281" spans="1:3">
      <c r="A281" s="73" t="s">
        <v>428</v>
      </c>
      <c r="B281" s="73" t="s">
        <v>39</v>
      </c>
      <c r="C281" s="79">
        <v>374650</v>
      </c>
    </row>
    <row r="282" spans="1:3">
      <c r="A282" s="73" t="s">
        <v>316</v>
      </c>
      <c r="B282" s="73" t="s">
        <v>39</v>
      </c>
      <c r="C282" s="79">
        <v>80000</v>
      </c>
    </row>
    <row r="283" spans="1:3">
      <c r="A283" s="73" t="s">
        <v>317</v>
      </c>
      <c r="B283" s="73" t="s">
        <v>39</v>
      </c>
      <c r="C283" s="79">
        <v>60000</v>
      </c>
    </row>
    <row r="284" spans="1:3">
      <c r="A284" s="73"/>
      <c r="B284" s="73"/>
      <c r="C284" s="79"/>
    </row>
    <row r="285" spans="1:3">
      <c r="A285" s="73" t="s">
        <v>318</v>
      </c>
      <c r="B285" s="73" t="s">
        <v>39</v>
      </c>
      <c r="C285" s="79">
        <v>62000</v>
      </c>
    </row>
    <row r="286" spans="1:3">
      <c r="A286" s="73" t="s">
        <v>319</v>
      </c>
      <c r="B286" s="73" t="s">
        <v>39</v>
      </c>
      <c r="C286" s="79">
        <v>105000</v>
      </c>
    </row>
    <row r="287" spans="1:3">
      <c r="A287" s="73" t="s">
        <v>320</v>
      </c>
      <c r="B287" s="73" t="s">
        <v>39</v>
      </c>
      <c r="C287" s="79">
        <v>65000</v>
      </c>
    </row>
    <row r="288" spans="1:3">
      <c r="A288" s="73" t="s">
        <v>321</v>
      </c>
      <c r="B288" s="73" t="s">
        <v>39</v>
      </c>
      <c r="C288" s="79">
        <v>131000</v>
      </c>
    </row>
    <row r="289" spans="1:3">
      <c r="A289" s="73" t="s">
        <v>429</v>
      </c>
      <c r="B289" s="73" t="s">
        <v>39</v>
      </c>
      <c r="C289" s="79">
        <v>274860</v>
      </c>
    </row>
    <row r="290" spans="1:3">
      <c r="A290" s="73" t="s">
        <v>322</v>
      </c>
      <c r="B290" s="73" t="s">
        <v>39</v>
      </c>
      <c r="C290" s="79">
        <v>84000</v>
      </c>
    </row>
    <row r="291" spans="1:3">
      <c r="A291" s="73" t="s">
        <v>323</v>
      </c>
      <c r="B291" s="73" t="s">
        <v>39</v>
      </c>
      <c r="C291" s="79">
        <v>187630</v>
      </c>
    </row>
    <row r="292" spans="1:3">
      <c r="A292" s="73" t="s">
        <v>324</v>
      </c>
      <c r="B292" s="73" t="s">
        <v>39</v>
      </c>
      <c r="C292" s="79">
        <v>150320</v>
      </c>
    </row>
    <row r="293" spans="1:3">
      <c r="A293" s="73"/>
      <c r="B293" s="73"/>
      <c r="C293" s="79"/>
    </row>
    <row r="294" spans="1:3">
      <c r="A294" s="73" t="s">
        <v>325</v>
      </c>
      <c r="B294" s="73" t="s">
        <v>39</v>
      </c>
      <c r="C294" s="79">
        <v>180000</v>
      </c>
    </row>
    <row r="295" spans="1:3">
      <c r="A295" s="73" t="s">
        <v>326</v>
      </c>
      <c r="B295" s="73" t="s">
        <v>39</v>
      </c>
      <c r="C295" s="79">
        <v>131300</v>
      </c>
    </row>
    <row r="296" spans="1:3">
      <c r="A296" s="73" t="s">
        <v>327</v>
      </c>
      <c r="B296" s="73" t="s">
        <v>39</v>
      </c>
      <c r="C296" s="79">
        <v>68000</v>
      </c>
    </row>
    <row r="297" spans="1:3">
      <c r="A297" s="73" t="s">
        <v>328</v>
      </c>
      <c r="B297" s="73" t="s">
        <v>39</v>
      </c>
      <c r="C297" s="79">
        <v>154200</v>
      </c>
    </row>
    <row r="298" spans="1:3">
      <c r="A298" s="73" t="s">
        <v>329</v>
      </c>
      <c r="B298" s="73" t="s">
        <v>39</v>
      </c>
      <c r="C298" s="79">
        <v>82140</v>
      </c>
    </row>
    <row r="299" spans="1:3">
      <c r="A299" s="52" t="s">
        <v>330</v>
      </c>
      <c r="B299" s="73" t="s">
        <v>39</v>
      </c>
      <c r="C299" s="79">
        <v>245620</v>
      </c>
    </row>
    <row r="300" spans="1:3">
      <c r="A300" s="73" t="s">
        <v>331</v>
      </c>
      <c r="B300" s="73" t="s">
        <v>39</v>
      </c>
      <c r="C300" s="79">
        <v>57620</v>
      </c>
    </row>
    <row r="301" spans="1:3">
      <c r="A301" s="73" t="s">
        <v>332</v>
      </c>
      <c r="B301" s="73" t="s">
        <v>39</v>
      </c>
      <c r="C301" s="79">
        <v>32450</v>
      </c>
    </row>
    <row r="302" spans="1:3">
      <c r="A302" s="73" t="s">
        <v>333</v>
      </c>
      <c r="B302" s="73" t="s">
        <v>39</v>
      </c>
      <c r="C302" s="79">
        <v>57000</v>
      </c>
    </row>
    <row r="303" spans="1:3">
      <c r="A303" s="73" t="s">
        <v>334</v>
      </c>
      <c r="B303" s="73" t="s">
        <v>39</v>
      </c>
      <c r="C303" s="79">
        <v>40000</v>
      </c>
    </row>
    <row r="304" spans="1:3">
      <c r="A304" s="73" t="s">
        <v>335</v>
      </c>
      <c r="B304" s="73" t="s">
        <v>39</v>
      </c>
      <c r="C304" s="79">
        <v>74650</v>
      </c>
    </row>
    <row r="305" spans="1:3">
      <c r="A305" s="73" t="s">
        <v>336</v>
      </c>
      <c r="B305" s="73" t="s">
        <v>39</v>
      </c>
      <c r="C305" s="79">
        <v>186740</v>
      </c>
    </row>
    <row r="306" spans="1:3">
      <c r="A306" s="73" t="s">
        <v>337</v>
      </c>
      <c r="B306" s="73" t="s">
        <v>39</v>
      </c>
      <c r="C306" s="79">
        <v>172620</v>
      </c>
    </row>
    <row r="307" spans="1:3">
      <c r="A307" s="73" t="s">
        <v>338</v>
      </c>
      <c r="B307" s="73" t="s">
        <v>39</v>
      </c>
      <c r="C307" s="79">
        <v>139000</v>
      </c>
    </row>
    <row r="308" spans="1:3">
      <c r="A308" s="73" t="s">
        <v>339</v>
      </c>
      <c r="B308" s="73" t="s">
        <v>39</v>
      </c>
      <c r="C308" s="79">
        <v>164320</v>
      </c>
    </row>
    <row r="309" spans="1:3">
      <c r="A309" s="73" t="s">
        <v>340</v>
      </c>
      <c r="B309" s="73" t="s">
        <v>39</v>
      </c>
      <c r="C309" s="79">
        <v>12000</v>
      </c>
    </row>
    <row r="310" spans="1:3">
      <c r="A310" s="73" t="s">
        <v>341</v>
      </c>
      <c r="B310" s="73" t="s">
        <v>39</v>
      </c>
      <c r="C310" s="79">
        <v>45780</v>
      </c>
    </row>
    <row r="311" spans="1:3">
      <c r="A311" s="73"/>
      <c r="B311" s="73"/>
      <c r="C311" s="79"/>
    </row>
    <row r="312" spans="1:3">
      <c r="A312" s="73" t="s">
        <v>342</v>
      </c>
      <c r="B312" s="73" t="s">
        <v>39</v>
      </c>
      <c r="C312" s="79">
        <v>638870</v>
      </c>
    </row>
    <row r="313" spans="1:3">
      <c r="A313" s="73" t="s">
        <v>410</v>
      </c>
      <c r="B313" s="73" t="s">
        <v>39</v>
      </c>
      <c r="C313" s="79">
        <v>527760</v>
      </c>
    </row>
    <row r="314" spans="1:3" ht="25.5">
      <c r="A314" s="102" t="s">
        <v>343</v>
      </c>
      <c r="B314" s="103" t="s">
        <v>39</v>
      </c>
      <c r="C314" s="104">
        <v>570000</v>
      </c>
    </row>
    <row r="315" spans="1:3">
      <c r="A315" s="102" t="s">
        <v>344</v>
      </c>
      <c r="B315" s="103" t="s">
        <v>38</v>
      </c>
      <c r="C315" s="104">
        <v>494300</v>
      </c>
    </row>
    <row r="316" spans="1:3">
      <c r="A316" s="102" t="s">
        <v>345</v>
      </c>
      <c r="B316" s="103" t="s">
        <v>38</v>
      </c>
      <c r="C316" s="104">
        <v>56410</v>
      </c>
    </row>
    <row r="317" spans="1:3">
      <c r="A317" s="102" t="s">
        <v>346</v>
      </c>
      <c r="B317" s="103" t="s">
        <v>38</v>
      </c>
      <c r="C317" s="104">
        <v>75210</v>
      </c>
    </row>
    <row r="318" spans="1:3">
      <c r="A318" s="102" t="s">
        <v>347</v>
      </c>
      <c r="B318" s="103" t="s">
        <v>69</v>
      </c>
      <c r="C318" s="104">
        <v>11150</v>
      </c>
    </row>
    <row r="319" spans="1:3">
      <c r="A319" s="102" t="s">
        <v>484</v>
      </c>
      <c r="B319" s="103" t="s">
        <v>39</v>
      </c>
      <c r="C319" s="104">
        <v>204300</v>
      </c>
    </row>
    <row r="320" spans="1:3">
      <c r="A320" s="102"/>
      <c r="B320" s="103"/>
      <c r="C320" s="104"/>
    </row>
    <row r="321" spans="1:4">
      <c r="A321" s="102" t="s">
        <v>425</v>
      </c>
      <c r="B321" s="103" t="s">
        <v>37</v>
      </c>
      <c r="C321" s="104">
        <v>319420</v>
      </c>
    </row>
    <row r="322" spans="1:4">
      <c r="A322" s="102" t="s">
        <v>426</v>
      </c>
      <c r="B322" s="103" t="s">
        <v>39</v>
      </c>
      <c r="C322" s="104">
        <v>39640</v>
      </c>
    </row>
    <row r="323" spans="1:4">
      <c r="A323" s="102" t="s">
        <v>348</v>
      </c>
      <c r="B323" s="103" t="s">
        <v>38</v>
      </c>
      <c r="C323" s="104">
        <v>451740</v>
      </c>
    </row>
    <row r="324" spans="1:4">
      <c r="A324" s="102" t="s">
        <v>349</v>
      </c>
      <c r="B324" s="103" t="s">
        <v>38</v>
      </c>
      <c r="C324" s="104">
        <v>393460</v>
      </c>
    </row>
    <row r="325" spans="1:4">
      <c r="A325" s="102" t="s">
        <v>350</v>
      </c>
      <c r="B325" s="103" t="s">
        <v>38</v>
      </c>
      <c r="C325" s="104">
        <v>798990</v>
      </c>
    </row>
    <row r="326" spans="1:4">
      <c r="A326" s="102"/>
      <c r="B326" s="103"/>
      <c r="C326" s="104"/>
      <c r="D326" s="105"/>
    </row>
    <row r="327" spans="1:4">
      <c r="A327" s="73" t="s">
        <v>351</v>
      </c>
      <c r="B327" s="73" t="s">
        <v>75</v>
      </c>
      <c r="C327" s="79">
        <f>12000/3</f>
        <v>4000</v>
      </c>
    </row>
    <row r="328" spans="1:4">
      <c r="A328" s="73" t="s">
        <v>352</v>
      </c>
      <c r="B328" s="73" t="s">
        <v>104</v>
      </c>
      <c r="C328" s="79">
        <f>12900/4</f>
        <v>3225</v>
      </c>
    </row>
    <row r="329" spans="1:4">
      <c r="A329" s="73"/>
      <c r="B329" s="73"/>
      <c r="C329" s="79"/>
    </row>
    <row r="330" spans="1:4">
      <c r="A330" s="73" t="s">
        <v>487</v>
      </c>
      <c r="B330" s="73" t="s">
        <v>39</v>
      </c>
      <c r="C330" s="79">
        <v>125850</v>
      </c>
    </row>
    <row r="331" spans="1:4">
      <c r="A331" s="73" t="s">
        <v>488</v>
      </c>
      <c r="B331" s="73" t="s">
        <v>39</v>
      </c>
      <c r="C331" s="79">
        <v>215800</v>
      </c>
    </row>
    <row r="332" spans="1:4">
      <c r="A332" s="73" t="s">
        <v>489</v>
      </c>
      <c r="B332" s="73" t="s">
        <v>39</v>
      </c>
      <c r="C332" s="79">
        <v>245800</v>
      </c>
    </row>
    <row r="333" spans="1:4">
      <c r="A333" s="73"/>
      <c r="B333" s="73"/>
      <c r="C333" s="79"/>
    </row>
    <row r="334" spans="1:4">
      <c r="A334" s="106" t="s">
        <v>409</v>
      </c>
      <c r="B334" s="106" t="s">
        <v>39</v>
      </c>
      <c r="C334" s="107">
        <v>632120</v>
      </c>
    </row>
    <row r="335" spans="1:4">
      <c r="A335" s="106" t="s">
        <v>497</v>
      </c>
      <c r="B335" s="106" t="s">
        <v>39</v>
      </c>
      <c r="C335" s="107">
        <v>425850</v>
      </c>
    </row>
    <row r="336" spans="1:4">
      <c r="A336" s="108" t="s">
        <v>465</v>
      </c>
      <c r="B336" s="106" t="s">
        <v>39</v>
      </c>
      <c r="C336" s="107">
        <v>325000</v>
      </c>
    </row>
    <row r="337" spans="1:3">
      <c r="A337" s="108" t="s">
        <v>466</v>
      </c>
      <c r="B337" s="106" t="s">
        <v>39</v>
      </c>
      <c r="C337" s="107">
        <v>305000</v>
      </c>
    </row>
    <row r="338" spans="1:3">
      <c r="A338" s="108" t="s">
        <v>407</v>
      </c>
      <c r="B338" s="108" t="s">
        <v>39</v>
      </c>
      <c r="C338" s="109">
        <v>472320</v>
      </c>
    </row>
    <row r="339" spans="1:3">
      <c r="A339" s="108" t="s">
        <v>408</v>
      </c>
      <c r="B339" s="108" t="s">
        <v>39</v>
      </c>
      <c r="C339" s="109">
        <v>431210</v>
      </c>
    </row>
    <row r="340" spans="1:3">
      <c r="A340" s="106" t="s">
        <v>353</v>
      </c>
      <c r="B340" s="106" t="s">
        <v>39</v>
      </c>
      <c r="C340" s="107">
        <v>320000</v>
      </c>
    </row>
    <row r="341" spans="1:3">
      <c r="A341" s="106" t="s">
        <v>468</v>
      </c>
      <c r="B341" s="106" t="s">
        <v>39</v>
      </c>
      <c r="C341" s="107">
        <v>765000</v>
      </c>
    </row>
    <row r="342" spans="1:3">
      <c r="A342" s="106" t="s">
        <v>469</v>
      </c>
      <c r="B342" s="106" t="s">
        <v>39</v>
      </c>
      <c r="C342" s="107">
        <v>1364300</v>
      </c>
    </row>
    <row r="343" spans="1:3">
      <c r="A343" s="73" t="s">
        <v>354</v>
      </c>
      <c r="B343" s="73" t="s">
        <v>39</v>
      </c>
      <c r="C343" s="79">
        <v>12430</v>
      </c>
    </row>
    <row r="344" spans="1:3">
      <c r="A344" s="73" t="s">
        <v>424</v>
      </c>
      <c r="B344" s="73" t="s">
        <v>39</v>
      </c>
      <c r="C344" s="79">
        <v>284150</v>
      </c>
    </row>
    <row r="345" spans="1:3">
      <c r="A345" s="73" t="s">
        <v>355</v>
      </c>
      <c r="B345" s="73" t="s">
        <v>39</v>
      </c>
      <c r="C345" s="79">
        <v>44000</v>
      </c>
    </row>
    <row r="346" spans="1:3">
      <c r="A346" s="73" t="s">
        <v>356</v>
      </c>
      <c r="B346" s="73" t="s">
        <v>39</v>
      </c>
      <c r="C346" s="79">
        <v>22000</v>
      </c>
    </row>
    <row r="347" spans="1:3">
      <c r="A347" s="73" t="s">
        <v>357</v>
      </c>
      <c r="B347" s="73" t="s">
        <v>39</v>
      </c>
      <c r="C347" s="79">
        <v>20500</v>
      </c>
    </row>
    <row r="348" spans="1:3">
      <c r="A348" s="73" t="s">
        <v>467</v>
      </c>
      <c r="B348" s="73" t="s">
        <v>39</v>
      </c>
      <c r="C348" s="79">
        <v>15200</v>
      </c>
    </row>
    <row r="349" spans="1:3">
      <c r="A349" s="73"/>
      <c r="B349" s="73"/>
      <c r="C349" s="79"/>
    </row>
    <row r="350" spans="1:3">
      <c r="A350" s="110" t="s">
        <v>358</v>
      </c>
      <c r="B350" s="73"/>
      <c r="C350" s="79"/>
    </row>
  </sheetData>
  <phoneticPr fontId="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6EECB-196C-4660-8682-34184A3391F0}">
  <sheetPr>
    <pageSetUpPr fitToPage="1"/>
  </sheetPr>
  <dimension ref="A1:J55"/>
  <sheetViews>
    <sheetView tabSelected="1" view="pageBreakPreview" zoomScale="85" zoomScaleNormal="100" zoomScaleSheetLayoutView="85" zoomScalePageLayoutView="150" workbookViewId="0">
      <selection activeCell="C9" sqref="C9:D9"/>
    </sheetView>
  </sheetViews>
  <sheetFormatPr baseColWidth="10" defaultRowHeight="15"/>
  <cols>
    <col min="1" max="1" width="24.42578125" style="111" customWidth="1"/>
    <col min="2" max="2" width="11.85546875" style="111" customWidth="1"/>
    <col min="3" max="3" width="7.140625" style="111" bestFit="1" customWidth="1"/>
    <col min="4" max="4" width="16.140625" style="111" bestFit="1" customWidth="1"/>
    <col min="5" max="5" width="6.28515625" style="111" customWidth="1"/>
    <col min="6" max="6" width="14.140625" style="111" bestFit="1" customWidth="1"/>
    <col min="7" max="7" width="18.7109375" style="111" customWidth="1"/>
    <col min="8" max="8" width="14.7109375" style="111" customWidth="1"/>
    <col min="9" max="9" width="15.140625" style="111" bestFit="1" customWidth="1"/>
    <col min="10" max="10" width="33.28515625" style="111" bestFit="1" customWidth="1"/>
    <col min="11" max="11" width="11.42578125" style="111"/>
    <col min="12" max="12" width="15.140625" style="111" bestFit="1" customWidth="1"/>
    <col min="13" max="256" width="11.42578125" style="111"/>
    <col min="257" max="257" width="11.28515625" style="111" customWidth="1"/>
    <col min="258" max="258" width="7.140625" style="111" bestFit="1" customWidth="1"/>
    <col min="259" max="259" width="16.140625" style="111" bestFit="1" customWidth="1"/>
    <col min="260" max="260" width="6.28515625" style="111" customWidth="1"/>
    <col min="261" max="261" width="14.140625" style="111" bestFit="1" customWidth="1"/>
    <col min="262" max="262" width="18.7109375" style="111" customWidth="1"/>
    <col min="263" max="263" width="14.7109375" style="111" customWidth="1"/>
    <col min="264" max="264" width="18.28515625" style="111" customWidth="1"/>
    <col min="265" max="265" width="15.140625" style="111" bestFit="1" customWidth="1"/>
    <col min="266" max="267" width="11.42578125" style="111"/>
    <col min="268" max="268" width="15.140625" style="111" bestFit="1" customWidth="1"/>
    <col min="269" max="512" width="11.42578125" style="111"/>
    <col min="513" max="513" width="11.28515625" style="111" customWidth="1"/>
    <col min="514" max="514" width="7.140625" style="111" bestFit="1" customWidth="1"/>
    <col min="515" max="515" width="16.140625" style="111" bestFit="1" customWidth="1"/>
    <col min="516" max="516" width="6.28515625" style="111" customWidth="1"/>
    <col min="517" max="517" width="14.140625" style="111" bestFit="1" customWidth="1"/>
    <col min="518" max="518" width="18.7109375" style="111" customWidth="1"/>
    <col min="519" max="519" width="14.7109375" style="111" customWidth="1"/>
    <col min="520" max="520" width="18.28515625" style="111" customWidth="1"/>
    <col min="521" max="521" width="15.140625" style="111" bestFit="1" customWidth="1"/>
    <col min="522" max="523" width="11.42578125" style="111"/>
    <col min="524" max="524" width="15.140625" style="111" bestFit="1" customWidth="1"/>
    <col min="525" max="768" width="11.42578125" style="111"/>
    <col min="769" max="769" width="11.28515625" style="111" customWidth="1"/>
    <col min="770" max="770" width="7.140625" style="111" bestFit="1" customWidth="1"/>
    <col min="771" max="771" width="16.140625" style="111" bestFit="1" customWidth="1"/>
    <col min="772" max="772" width="6.28515625" style="111" customWidth="1"/>
    <col min="773" max="773" width="14.140625" style="111" bestFit="1" customWidth="1"/>
    <col min="774" max="774" width="18.7109375" style="111" customWidth="1"/>
    <col min="775" max="775" width="14.7109375" style="111" customWidth="1"/>
    <col min="776" max="776" width="18.28515625" style="111" customWidth="1"/>
    <col min="777" max="777" width="15.140625" style="111" bestFit="1" customWidth="1"/>
    <col min="778" max="779" width="11.42578125" style="111"/>
    <col min="780" max="780" width="15.140625" style="111" bestFit="1" customWidth="1"/>
    <col min="781" max="1024" width="11.42578125" style="111"/>
    <col min="1025" max="1025" width="11.28515625" style="111" customWidth="1"/>
    <col min="1026" max="1026" width="7.140625" style="111" bestFit="1" customWidth="1"/>
    <col min="1027" max="1027" width="16.140625" style="111" bestFit="1" customWidth="1"/>
    <col min="1028" max="1028" width="6.28515625" style="111" customWidth="1"/>
    <col min="1029" max="1029" width="14.140625" style="111" bestFit="1" customWidth="1"/>
    <col min="1030" max="1030" width="18.7109375" style="111" customWidth="1"/>
    <col min="1031" max="1031" width="14.7109375" style="111" customWidth="1"/>
    <col min="1032" max="1032" width="18.28515625" style="111" customWidth="1"/>
    <col min="1033" max="1033" width="15.140625" style="111" bestFit="1" customWidth="1"/>
    <col min="1034" max="1035" width="11.42578125" style="111"/>
    <col min="1036" max="1036" width="15.140625" style="111" bestFit="1" customWidth="1"/>
    <col min="1037" max="1280" width="11.42578125" style="111"/>
    <col min="1281" max="1281" width="11.28515625" style="111" customWidth="1"/>
    <col min="1282" max="1282" width="7.140625" style="111" bestFit="1" customWidth="1"/>
    <col min="1283" max="1283" width="16.140625" style="111" bestFit="1" customWidth="1"/>
    <col min="1284" max="1284" width="6.28515625" style="111" customWidth="1"/>
    <col min="1285" max="1285" width="14.140625" style="111" bestFit="1" customWidth="1"/>
    <col min="1286" max="1286" width="18.7109375" style="111" customWidth="1"/>
    <col min="1287" max="1287" width="14.7109375" style="111" customWidth="1"/>
    <col min="1288" max="1288" width="18.28515625" style="111" customWidth="1"/>
    <col min="1289" max="1289" width="15.140625" style="111" bestFit="1" customWidth="1"/>
    <col min="1290" max="1291" width="11.42578125" style="111"/>
    <col min="1292" max="1292" width="15.140625" style="111" bestFit="1" customWidth="1"/>
    <col min="1293" max="1536" width="11.42578125" style="111"/>
    <col min="1537" max="1537" width="11.28515625" style="111" customWidth="1"/>
    <col min="1538" max="1538" width="7.140625" style="111" bestFit="1" customWidth="1"/>
    <col min="1539" max="1539" width="16.140625" style="111" bestFit="1" customWidth="1"/>
    <col min="1540" max="1540" width="6.28515625" style="111" customWidth="1"/>
    <col min="1541" max="1541" width="14.140625" style="111" bestFit="1" customWidth="1"/>
    <col min="1542" max="1542" width="18.7109375" style="111" customWidth="1"/>
    <col min="1543" max="1543" width="14.7109375" style="111" customWidth="1"/>
    <col min="1544" max="1544" width="18.28515625" style="111" customWidth="1"/>
    <col min="1545" max="1545" width="15.140625" style="111" bestFit="1" customWidth="1"/>
    <col min="1546" max="1547" width="11.42578125" style="111"/>
    <col min="1548" max="1548" width="15.140625" style="111" bestFit="1" customWidth="1"/>
    <col min="1549" max="1792" width="11.42578125" style="111"/>
    <col min="1793" max="1793" width="11.28515625" style="111" customWidth="1"/>
    <col min="1794" max="1794" width="7.140625" style="111" bestFit="1" customWidth="1"/>
    <col min="1795" max="1795" width="16.140625" style="111" bestFit="1" customWidth="1"/>
    <col min="1796" max="1796" width="6.28515625" style="111" customWidth="1"/>
    <col min="1797" max="1797" width="14.140625" style="111" bestFit="1" customWidth="1"/>
    <col min="1798" max="1798" width="18.7109375" style="111" customWidth="1"/>
    <col min="1799" max="1799" width="14.7109375" style="111" customWidth="1"/>
    <col min="1800" max="1800" width="18.28515625" style="111" customWidth="1"/>
    <col min="1801" max="1801" width="15.140625" style="111" bestFit="1" customWidth="1"/>
    <col min="1802" max="1803" width="11.42578125" style="111"/>
    <col min="1804" max="1804" width="15.140625" style="111" bestFit="1" customWidth="1"/>
    <col min="1805" max="2048" width="11.42578125" style="111"/>
    <col min="2049" max="2049" width="11.28515625" style="111" customWidth="1"/>
    <col min="2050" max="2050" width="7.140625" style="111" bestFit="1" customWidth="1"/>
    <col min="2051" max="2051" width="16.140625" style="111" bestFit="1" customWidth="1"/>
    <col min="2052" max="2052" width="6.28515625" style="111" customWidth="1"/>
    <col min="2053" max="2053" width="14.140625" style="111" bestFit="1" customWidth="1"/>
    <col min="2054" max="2054" width="18.7109375" style="111" customWidth="1"/>
    <col min="2055" max="2055" width="14.7109375" style="111" customWidth="1"/>
    <col min="2056" max="2056" width="18.28515625" style="111" customWidth="1"/>
    <col min="2057" max="2057" width="15.140625" style="111" bestFit="1" customWidth="1"/>
    <col min="2058" max="2059" width="11.42578125" style="111"/>
    <col min="2060" max="2060" width="15.140625" style="111" bestFit="1" customWidth="1"/>
    <col min="2061" max="2304" width="11.42578125" style="111"/>
    <col min="2305" max="2305" width="11.28515625" style="111" customWidth="1"/>
    <col min="2306" max="2306" width="7.140625" style="111" bestFit="1" customWidth="1"/>
    <col min="2307" max="2307" width="16.140625" style="111" bestFit="1" customWidth="1"/>
    <col min="2308" max="2308" width="6.28515625" style="111" customWidth="1"/>
    <col min="2309" max="2309" width="14.140625" style="111" bestFit="1" customWidth="1"/>
    <col min="2310" max="2310" width="18.7109375" style="111" customWidth="1"/>
    <col min="2311" max="2311" width="14.7109375" style="111" customWidth="1"/>
    <col min="2312" max="2312" width="18.28515625" style="111" customWidth="1"/>
    <col min="2313" max="2313" width="15.140625" style="111" bestFit="1" customWidth="1"/>
    <col min="2314" max="2315" width="11.42578125" style="111"/>
    <col min="2316" max="2316" width="15.140625" style="111" bestFit="1" customWidth="1"/>
    <col min="2317" max="2560" width="11.42578125" style="111"/>
    <col min="2561" max="2561" width="11.28515625" style="111" customWidth="1"/>
    <col min="2562" max="2562" width="7.140625" style="111" bestFit="1" customWidth="1"/>
    <col min="2563" max="2563" width="16.140625" style="111" bestFit="1" customWidth="1"/>
    <col min="2564" max="2564" width="6.28515625" style="111" customWidth="1"/>
    <col min="2565" max="2565" width="14.140625" style="111" bestFit="1" customWidth="1"/>
    <col min="2566" max="2566" width="18.7109375" style="111" customWidth="1"/>
    <col min="2567" max="2567" width="14.7109375" style="111" customWidth="1"/>
    <col min="2568" max="2568" width="18.28515625" style="111" customWidth="1"/>
    <col min="2569" max="2569" width="15.140625" style="111" bestFit="1" customWidth="1"/>
    <col min="2570" max="2571" width="11.42578125" style="111"/>
    <col min="2572" max="2572" width="15.140625" style="111" bestFit="1" customWidth="1"/>
    <col min="2573" max="2816" width="11.42578125" style="111"/>
    <col min="2817" max="2817" width="11.28515625" style="111" customWidth="1"/>
    <col min="2818" max="2818" width="7.140625" style="111" bestFit="1" customWidth="1"/>
    <col min="2819" max="2819" width="16.140625" style="111" bestFit="1" customWidth="1"/>
    <col min="2820" max="2820" width="6.28515625" style="111" customWidth="1"/>
    <col min="2821" max="2821" width="14.140625" style="111" bestFit="1" customWidth="1"/>
    <col min="2822" max="2822" width="18.7109375" style="111" customWidth="1"/>
    <col min="2823" max="2823" width="14.7109375" style="111" customWidth="1"/>
    <col min="2824" max="2824" width="18.28515625" style="111" customWidth="1"/>
    <col min="2825" max="2825" width="15.140625" style="111" bestFit="1" customWidth="1"/>
    <col min="2826" max="2827" width="11.42578125" style="111"/>
    <col min="2828" max="2828" width="15.140625" style="111" bestFit="1" customWidth="1"/>
    <col min="2829" max="3072" width="11.42578125" style="111"/>
    <col min="3073" max="3073" width="11.28515625" style="111" customWidth="1"/>
    <col min="3074" max="3074" width="7.140625" style="111" bestFit="1" customWidth="1"/>
    <col min="3075" max="3075" width="16.140625" style="111" bestFit="1" customWidth="1"/>
    <col min="3076" max="3076" width="6.28515625" style="111" customWidth="1"/>
    <col min="3077" max="3077" width="14.140625" style="111" bestFit="1" customWidth="1"/>
    <col min="3078" max="3078" width="18.7109375" style="111" customWidth="1"/>
    <col min="3079" max="3079" width="14.7109375" style="111" customWidth="1"/>
    <col min="3080" max="3080" width="18.28515625" style="111" customWidth="1"/>
    <col min="3081" max="3081" width="15.140625" style="111" bestFit="1" customWidth="1"/>
    <col min="3082" max="3083" width="11.42578125" style="111"/>
    <col min="3084" max="3084" width="15.140625" style="111" bestFit="1" customWidth="1"/>
    <col min="3085" max="3328" width="11.42578125" style="111"/>
    <col min="3329" max="3329" width="11.28515625" style="111" customWidth="1"/>
    <col min="3330" max="3330" width="7.140625" style="111" bestFit="1" customWidth="1"/>
    <col min="3331" max="3331" width="16.140625" style="111" bestFit="1" customWidth="1"/>
    <col min="3332" max="3332" width="6.28515625" style="111" customWidth="1"/>
    <col min="3333" max="3333" width="14.140625" style="111" bestFit="1" customWidth="1"/>
    <col min="3334" max="3334" width="18.7109375" style="111" customWidth="1"/>
    <col min="3335" max="3335" width="14.7109375" style="111" customWidth="1"/>
    <col min="3336" max="3336" width="18.28515625" style="111" customWidth="1"/>
    <col min="3337" max="3337" width="15.140625" style="111" bestFit="1" customWidth="1"/>
    <col min="3338" max="3339" width="11.42578125" style="111"/>
    <col min="3340" max="3340" width="15.140625" style="111" bestFit="1" customWidth="1"/>
    <col min="3341" max="3584" width="11.42578125" style="111"/>
    <col min="3585" max="3585" width="11.28515625" style="111" customWidth="1"/>
    <col min="3586" max="3586" width="7.140625" style="111" bestFit="1" customWidth="1"/>
    <col min="3587" max="3587" width="16.140625" style="111" bestFit="1" customWidth="1"/>
    <col min="3588" max="3588" width="6.28515625" style="111" customWidth="1"/>
    <col min="3589" max="3589" width="14.140625" style="111" bestFit="1" customWidth="1"/>
    <col min="3590" max="3590" width="18.7109375" style="111" customWidth="1"/>
    <col min="3591" max="3591" width="14.7109375" style="111" customWidth="1"/>
    <col min="3592" max="3592" width="18.28515625" style="111" customWidth="1"/>
    <col min="3593" max="3593" width="15.140625" style="111" bestFit="1" customWidth="1"/>
    <col min="3594" max="3595" width="11.42578125" style="111"/>
    <col min="3596" max="3596" width="15.140625" style="111" bestFit="1" customWidth="1"/>
    <col min="3597" max="3840" width="11.42578125" style="111"/>
    <col min="3841" max="3841" width="11.28515625" style="111" customWidth="1"/>
    <col min="3842" max="3842" width="7.140625" style="111" bestFit="1" customWidth="1"/>
    <col min="3843" max="3843" width="16.140625" style="111" bestFit="1" customWidth="1"/>
    <col min="3844" max="3844" width="6.28515625" style="111" customWidth="1"/>
    <col min="3845" max="3845" width="14.140625" style="111" bestFit="1" customWidth="1"/>
    <col min="3846" max="3846" width="18.7109375" style="111" customWidth="1"/>
    <col min="3847" max="3847" width="14.7109375" style="111" customWidth="1"/>
    <col min="3848" max="3848" width="18.28515625" style="111" customWidth="1"/>
    <col min="3849" max="3849" width="15.140625" style="111" bestFit="1" customWidth="1"/>
    <col min="3850" max="3851" width="11.42578125" style="111"/>
    <col min="3852" max="3852" width="15.140625" style="111" bestFit="1" customWidth="1"/>
    <col min="3853" max="4096" width="11.42578125" style="111"/>
    <col min="4097" max="4097" width="11.28515625" style="111" customWidth="1"/>
    <col min="4098" max="4098" width="7.140625" style="111" bestFit="1" customWidth="1"/>
    <col min="4099" max="4099" width="16.140625" style="111" bestFit="1" customWidth="1"/>
    <col min="4100" max="4100" width="6.28515625" style="111" customWidth="1"/>
    <col min="4101" max="4101" width="14.140625" style="111" bestFit="1" customWidth="1"/>
    <col min="4102" max="4102" width="18.7109375" style="111" customWidth="1"/>
    <col min="4103" max="4103" width="14.7109375" style="111" customWidth="1"/>
    <col min="4104" max="4104" width="18.28515625" style="111" customWidth="1"/>
    <col min="4105" max="4105" width="15.140625" style="111" bestFit="1" customWidth="1"/>
    <col min="4106" max="4107" width="11.42578125" style="111"/>
    <col min="4108" max="4108" width="15.140625" style="111" bestFit="1" customWidth="1"/>
    <col min="4109" max="4352" width="11.42578125" style="111"/>
    <col min="4353" max="4353" width="11.28515625" style="111" customWidth="1"/>
    <col min="4354" max="4354" width="7.140625" style="111" bestFit="1" customWidth="1"/>
    <col min="4355" max="4355" width="16.140625" style="111" bestFit="1" customWidth="1"/>
    <col min="4356" max="4356" width="6.28515625" style="111" customWidth="1"/>
    <col min="4357" max="4357" width="14.140625" style="111" bestFit="1" customWidth="1"/>
    <col min="4358" max="4358" width="18.7109375" style="111" customWidth="1"/>
    <col min="4359" max="4359" width="14.7109375" style="111" customWidth="1"/>
    <col min="4360" max="4360" width="18.28515625" style="111" customWidth="1"/>
    <col min="4361" max="4361" width="15.140625" style="111" bestFit="1" customWidth="1"/>
    <col min="4362" max="4363" width="11.42578125" style="111"/>
    <col min="4364" max="4364" width="15.140625" style="111" bestFit="1" customWidth="1"/>
    <col min="4365" max="4608" width="11.42578125" style="111"/>
    <col min="4609" max="4609" width="11.28515625" style="111" customWidth="1"/>
    <col min="4610" max="4610" width="7.140625" style="111" bestFit="1" customWidth="1"/>
    <col min="4611" max="4611" width="16.140625" style="111" bestFit="1" customWidth="1"/>
    <col min="4612" max="4612" width="6.28515625" style="111" customWidth="1"/>
    <col min="4613" max="4613" width="14.140625" style="111" bestFit="1" customWidth="1"/>
    <col min="4614" max="4614" width="18.7109375" style="111" customWidth="1"/>
    <col min="4615" max="4615" width="14.7109375" style="111" customWidth="1"/>
    <col min="4616" max="4616" width="18.28515625" style="111" customWidth="1"/>
    <col min="4617" max="4617" width="15.140625" style="111" bestFit="1" customWidth="1"/>
    <col min="4618" max="4619" width="11.42578125" style="111"/>
    <col min="4620" max="4620" width="15.140625" style="111" bestFit="1" customWidth="1"/>
    <col min="4621" max="4864" width="11.42578125" style="111"/>
    <col min="4865" max="4865" width="11.28515625" style="111" customWidth="1"/>
    <col min="4866" max="4866" width="7.140625" style="111" bestFit="1" customWidth="1"/>
    <col min="4867" max="4867" width="16.140625" style="111" bestFit="1" customWidth="1"/>
    <col min="4868" max="4868" width="6.28515625" style="111" customWidth="1"/>
    <col min="4869" max="4869" width="14.140625" style="111" bestFit="1" customWidth="1"/>
    <col min="4870" max="4870" width="18.7109375" style="111" customWidth="1"/>
    <col min="4871" max="4871" width="14.7109375" style="111" customWidth="1"/>
    <col min="4872" max="4872" width="18.28515625" style="111" customWidth="1"/>
    <col min="4873" max="4873" width="15.140625" style="111" bestFit="1" customWidth="1"/>
    <col min="4874" max="4875" width="11.42578125" style="111"/>
    <col min="4876" max="4876" width="15.140625" style="111" bestFit="1" customWidth="1"/>
    <col min="4877" max="5120" width="11.42578125" style="111"/>
    <col min="5121" max="5121" width="11.28515625" style="111" customWidth="1"/>
    <col min="5122" max="5122" width="7.140625" style="111" bestFit="1" customWidth="1"/>
    <col min="5123" max="5123" width="16.140625" style="111" bestFit="1" customWidth="1"/>
    <col min="5124" max="5124" width="6.28515625" style="111" customWidth="1"/>
    <col min="5125" max="5125" width="14.140625" style="111" bestFit="1" customWidth="1"/>
    <col min="5126" max="5126" width="18.7109375" style="111" customWidth="1"/>
    <col min="5127" max="5127" width="14.7109375" style="111" customWidth="1"/>
    <col min="5128" max="5128" width="18.28515625" style="111" customWidth="1"/>
    <col min="5129" max="5129" width="15.140625" style="111" bestFit="1" customWidth="1"/>
    <col min="5130" max="5131" width="11.42578125" style="111"/>
    <col min="5132" max="5132" width="15.140625" style="111" bestFit="1" customWidth="1"/>
    <col min="5133" max="5376" width="11.42578125" style="111"/>
    <col min="5377" max="5377" width="11.28515625" style="111" customWidth="1"/>
    <col min="5378" max="5378" width="7.140625" style="111" bestFit="1" customWidth="1"/>
    <col min="5379" max="5379" width="16.140625" style="111" bestFit="1" customWidth="1"/>
    <col min="5380" max="5380" width="6.28515625" style="111" customWidth="1"/>
    <col min="5381" max="5381" width="14.140625" style="111" bestFit="1" customWidth="1"/>
    <col min="5382" max="5382" width="18.7109375" style="111" customWidth="1"/>
    <col min="5383" max="5383" width="14.7109375" style="111" customWidth="1"/>
    <col min="5384" max="5384" width="18.28515625" style="111" customWidth="1"/>
    <col min="5385" max="5385" width="15.140625" style="111" bestFit="1" customWidth="1"/>
    <col min="5386" max="5387" width="11.42578125" style="111"/>
    <col min="5388" max="5388" width="15.140625" style="111" bestFit="1" customWidth="1"/>
    <col min="5389" max="5632" width="11.42578125" style="111"/>
    <col min="5633" max="5633" width="11.28515625" style="111" customWidth="1"/>
    <col min="5634" max="5634" width="7.140625" style="111" bestFit="1" customWidth="1"/>
    <col min="5635" max="5635" width="16.140625" style="111" bestFit="1" customWidth="1"/>
    <col min="5636" max="5636" width="6.28515625" style="111" customWidth="1"/>
    <col min="5637" max="5637" width="14.140625" style="111" bestFit="1" customWidth="1"/>
    <col min="5638" max="5638" width="18.7109375" style="111" customWidth="1"/>
    <col min="5639" max="5639" width="14.7109375" style="111" customWidth="1"/>
    <col min="5640" max="5640" width="18.28515625" style="111" customWidth="1"/>
    <col min="5641" max="5641" width="15.140625" style="111" bestFit="1" customWidth="1"/>
    <col min="5642" max="5643" width="11.42578125" style="111"/>
    <col min="5644" max="5644" width="15.140625" style="111" bestFit="1" customWidth="1"/>
    <col min="5645" max="5888" width="11.42578125" style="111"/>
    <col min="5889" max="5889" width="11.28515625" style="111" customWidth="1"/>
    <col min="5890" max="5890" width="7.140625" style="111" bestFit="1" customWidth="1"/>
    <col min="5891" max="5891" width="16.140625" style="111" bestFit="1" customWidth="1"/>
    <col min="5892" max="5892" width="6.28515625" style="111" customWidth="1"/>
    <col min="5893" max="5893" width="14.140625" style="111" bestFit="1" customWidth="1"/>
    <col min="5894" max="5894" width="18.7109375" style="111" customWidth="1"/>
    <col min="5895" max="5895" width="14.7109375" style="111" customWidth="1"/>
    <col min="5896" max="5896" width="18.28515625" style="111" customWidth="1"/>
    <col min="5897" max="5897" width="15.140625" style="111" bestFit="1" customWidth="1"/>
    <col min="5898" max="5899" width="11.42578125" style="111"/>
    <col min="5900" max="5900" width="15.140625" style="111" bestFit="1" customWidth="1"/>
    <col min="5901" max="6144" width="11.42578125" style="111"/>
    <col min="6145" max="6145" width="11.28515625" style="111" customWidth="1"/>
    <col min="6146" max="6146" width="7.140625" style="111" bestFit="1" customWidth="1"/>
    <col min="6147" max="6147" width="16.140625" style="111" bestFit="1" customWidth="1"/>
    <col min="6148" max="6148" width="6.28515625" style="111" customWidth="1"/>
    <col min="6149" max="6149" width="14.140625" style="111" bestFit="1" customWidth="1"/>
    <col min="6150" max="6150" width="18.7109375" style="111" customWidth="1"/>
    <col min="6151" max="6151" width="14.7109375" style="111" customWidth="1"/>
    <col min="6152" max="6152" width="18.28515625" style="111" customWidth="1"/>
    <col min="6153" max="6153" width="15.140625" style="111" bestFit="1" customWidth="1"/>
    <col min="6154" max="6155" width="11.42578125" style="111"/>
    <col min="6156" max="6156" width="15.140625" style="111" bestFit="1" customWidth="1"/>
    <col min="6157" max="6400" width="11.42578125" style="111"/>
    <col min="6401" max="6401" width="11.28515625" style="111" customWidth="1"/>
    <col min="6402" max="6402" width="7.140625" style="111" bestFit="1" customWidth="1"/>
    <col min="6403" max="6403" width="16.140625" style="111" bestFit="1" customWidth="1"/>
    <col min="6404" max="6404" width="6.28515625" style="111" customWidth="1"/>
    <col min="6405" max="6405" width="14.140625" style="111" bestFit="1" customWidth="1"/>
    <col min="6406" max="6406" width="18.7109375" style="111" customWidth="1"/>
    <col min="6407" max="6407" width="14.7109375" style="111" customWidth="1"/>
    <col min="6408" max="6408" width="18.28515625" style="111" customWidth="1"/>
    <col min="6409" max="6409" width="15.140625" style="111" bestFit="1" customWidth="1"/>
    <col min="6410" max="6411" width="11.42578125" style="111"/>
    <col min="6412" max="6412" width="15.140625" style="111" bestFit="1" customWidth="1"/>
    <col min="6413" max="6656" width="11.42578125" style="111"/>
    <col min="6657" max="6657" width="11.28515625" style="111" customWidth="1"/>
    <col min="6658" max="6658" width="7.140625" style="111" bestFit="1" customWidth="1"/>
    <col min="6659" max="6659" width="16.140625" style="111" bestFit="1" customWidth="1"/>
    <col min="6660" max="6660" width="6.28515625" style="111" customWidth="1"/>
    <col min="6661" max="6661" width="14.140625" style="111" bestFit="1" customWidth="1"/>
    <col min="6662" max="6662" width="18.7109375" style="111" customWidth="1"/>
    <col min="6663" max="6663" width="14.7109375" style="111" customWidth="1"/>
    <col min="6664" max="6664" width="18.28515625" style="111" customWidth="1"/>
    <col min="6665" max="6665" width="15.140625" style="111" bestFit="1" customWidth="1"/>
    <col min="6666" max="6667" width="11.42578125" style="111"/>
    <col min="6668" max="6668" width="15.140625" style="111" bestFit="1" customWidth="1"/>
    <col min="6669" max="6912" width="11.42578125" style="111"/>
    <col min="6913" max="6913" width="11.28515625" style="111" customWidth="1"/>
    <col min="6914" max="6914" width="7.140625" style="111" bestFit="1" customWidth="1"/>
    <col min="6915" max="6915" width="16.140625" style="111" bestFit="1" customWidth="1"/>
    <col min="6916" max="6916" width="6.28515625" style="111" customWidth="1"/>
    <col min="6917" max="6917" width="14.140625" style="111" bestFit="1" customWidth="1"/>
    <col min="6918" max="6918" width="18.7109375" style="111" customWidth="1"/>
    <col min="6919" max="6919" width="14.7109375" style="111" customWidth="1"/>
    <col min="6920" max="6920" width="18.28515625" style="111" customWidth="1"/>
    <col min="6921" max="6921" width="15.140625" style="111" bestFit="1" customWidth="1"/>
    <col min="6922" max="6923" width="11.42578125" style="111"/>
    <col min="6924" max="6924" width="15.140625" style="111" bestFit="1" customWidth="1"/>
    <col min="6925" max="7168" width="11.42578125" style="111"/>
    <col min="7169" max="7169" width="11.28515625" style="111" customWidth="1"/>
    <col min="7170" max="7170" width="7.140625" style="111" bestFit="1" customWidth="1"/>
    <col min="7171" max="7171" width="16.140625" style="111" bestFit="1" customWidth="1"/>
    <col min="7172" max="7172" width="6.28515625" style="111" customWidth="1"/>
    <col min="7173" max="7173" width="14.140625" style="111" bestFit="1" customWidth="1"/>
    <col min="7174" max="7174" width="18.7109375" style="111" customWidth="1"/>
    <col min="7175" max="7175" width="14.7109375" style="111" customWidth="1"/>
    <col min="7176" max="7176" width="18.28515625" style="111" customWidth="1"/>
    <col min="7177" max="7177" width="15.140625" style="111" bestFit="1" customWidth="1"/>
    <col min="7178" max="7179" width="11.42578125" style="111"/>
    <col min="7180" max="7180" width="15.140625" style="111" bestFit="1" customWidth="1"/>
    <col min="7181" max="7424" width="11.42578125" style="111"/>
    <col min="7425" max="7425" width="11.28515625" style="111" customWidth="1"/>
    <col min="7426" max="7426" width="7.140625" style="111" bestFit="1" customWidth="1"/>
    <col min="7427" max="7427" width="16.140625" style="111" bestFit="1" customWidth="1"/>
    <col min="7428" max="7428" width="6.28515625" style="111" customWidth="1"/>
    <col min="7429" max="7429" width="14.140625" style="111" bestFit="1" customWidth="1"/>
    <col min="7430" max="7430" width="18.7109375" style="111" customWidth="1"/>
    <col min="7431" max="7431" width="14.7109375" style="111" customWidth="1"/>
    <col min="7432" max="7432" width="18.28515625" style="111" customWidth="1"/>
    <col min="7433" max="7433" width="15.140625" style="111" bestFit="1" customWidth="1"/>
    <col min="7434" max="7435" width="11.42578125" style="111"/>
    <col min="7436" max="7436" width="15.140625" style="111" bestFit="1" customWidth="1"/>
    <col min="7437" max="7680" width="11.42578125" style="111"/>
    <col min="7681" max="7681" width="11.28515625" style="111" customWidth="1"/>
    <col min="7682" max="7682" width="7.140625" style="111" bestFit="1" customWidth="1"/>
    <col min="7683" max="7683" width="16.140625" style="111" bestFit="1" customWidth="1"/>
    <col min="7684" max="7684" width="6.28515625" style="111" customWidth="1"/>
    <col min="7685" max="7685" width="14.140625" style="111" bestFit="1" customWidth="1"/>
    <col min="7686" max="7686" width="18.7109375" style="111" customWidth="1"/>
    <col min="7687" max="7687" width="14.7109375" style="111" customWidth="1"/>
    <col min="7688" max="7688" width="18.28515625" style="111" customWidth="1"/>
    <col min="7689" max="7689" width="15.140625" style="111" bestFit="1" customWidth="1"/>
    <col min="7690" max="7691" width="11.42578125" style="111"/>
    <col min="7692" max="7692" width="15.140625" style="111" bestFit="1" customWidth="1"/>
    <col min="7693" max="7936" width="11.42578125" style="111"/>
    <col min="7937" max="7937" width="11.28515625" style="111" customWidth="1"/>
    <col min="7938" max="7938" width="7.140625" style="111" bestFit="1" customWidth="1"/>
    <col min="7939" max="7939" width="16.140625" style="111" bestFit="1" customWidth="1"/>
    <col min="7940" max="7940" width="6.28515625" style="111" customWidth="1"/>
    <col min="7941" max="7941" width="14.140625" style="111" bestFit="1" customWidth="1"/>
    <col min="7942" max="7942" width="18.7109375" style="111" customWidth="1"/>
    <col min="7943" max="7943" width="14.7109375" style="111" customWidth="1"/>
    <col min="7944" max="7944" width="18.28515625" style="111" customWidth="1"/>
    <col min="7945" max="7945" width="15.140625" style="111" bestFit="1" customWidth="1"/>
    <col min="7946" max="7947" width="11.42578125" style="111"/>
    <col min="7948" max="7948" width="15.140625" style="111" bestFit="1" customWidth="1"/>
    <col min="7949" max="8192" width="11.42578125" style="111"/>
    <col min="8193" max="8193" width="11.28515625" style="111" customWidth="1"/>
    <col min="8194" max="8194" width="7.140625" style="111" bestFit="1" customWidth="1"/>
    <col min="8195" max="8195" width="16.140625" style="111" bestFit="1" customWidth="1"/>
    <col min="8196" max="8196" width="6.28515625" style="111" customWidth="1"/>
    <col min="8197" max="8197" width="14.140625" style="111" bestFit="1" customWidth="1"/>
    <col min="8198" max="8198" width="18.7109375" style="111" customWidth="1"/>
    <col min="8199" max="8199" width="14.7109375" style="111" customWidth="1"/>
    <col min="8200" max="8200" width="18.28515625" style="111" customWidth="1"/>
    <col min="8201" max="8201" width="15.140625" style="111" bestFit="1" customWidth="1"/>
    <col min="8202" max="8203" width="11.42578125" style="111"/>
    <col min="8204" max="8204" width="15.140625" style="111" bestFit="1" customWidth="1"/>
    <col min="8205" max="8448" width="11.42578125" style="111"/>
    <col min="8449" max="8449" width="11.28515625" style="111" customWidth="1"/>
    <col min="8450" max="8450" width="7.140625" style="111" bestFit="1" customWidth="1"/>
    <col min="8451" max="8451" width="16.140625" style="111" bestFit="1" customWidth="1"/>
    <col min="8452" max="8452" width="6.28515625" style="111" customWidth="1"/>
    <col min="8453" max="8453" width="14.140625" style="111" bestFit="1" customWidth="1"/>
    <col min="8454" max="8454" width="18.7109375" style="111" customWidth="1"/>
    <col min="8455" max="8455" width="14.7109375" style="111" customWidth="1"/>
    <col min="8456" max="8456" width="18.28515625" style="111" customWidth="1"/>
    <col min="8457" max="8457" width="15.140625" style="111" bestFit="1" customWidth="1"/>
    <col min="8458" max="8459" width="11.42578125" style="111"/>
    <col min="8460" max="8460" width="15.140625" style="111" bestFit="1" customWidth="1"/>
    <col min="8461" max="8704" width="11.42578125" style="111"/>
    <col min="8705" max="8705" width="11.28515625" style="111" customWidth="1"/>
    <col min="8706" max="8706" width="7.140625" style="111" bestFit="1" customWidth="1"/>
    <col min="8707" max="8707" width="16.140625" style="111" bestFit="1" customWidth="1"/>
    <col min="8708" max="8708" width="6.28515625" style="111" customWidth="1"/>
    <col min="8709" max="8709" width="14.140625" style="111" bestFit="1" customWidth="1"/>
    <col min="8710" max="8710" width="18.7109375" style="111" customWidth="1"/>
    <col min="8711" max="8711" width="14.7109375" style="111" customWidth="1"/>
    <col min="8712" max="8712" width="18.28515625" style="111" customWidth="1"/>
    <col min="8713" max="8713" width="15.140625" style="111" bestFit="1" customWidth="1"/>
    <col min="8714" max="8715" width="11.42578125" style="111"/>
    <col min="8716" max="8716" width="15.140625" style="111" bestFit="1" customWidth="1"/>
    <col min="8717" max="8960" width="11.42578125" style="111"/>
    <col min="8961" max="8961" width="11.28515625" style="111" customWidth="1"/>
    <col min="8962" max="8962" width="7.140625" style="111" bestFit="1" customWidth="1"/>
    <col min="8963" max="8963" width="16.140625" style="111" bestFit="1" customWidth="1"/>
    <col min="8964" max="8964" width="6.28515625" style="111" customWidth="1"/>
    <col min="8965" max="8965" width="14.140625" style="111" bestFit="1" customWidth="1"/>
    <col min="8966" max="8966" width="18.7109375" style="111" customWidth="1"/>
    <col min="8967" max="8967" width="14.7109375" style="111" customWidth="1"/>
    <col min="8968" max="8968" width="18.28515625" style="111" customWidth="1"/>
    <col min="8969" max="8969" width="15.140625" style="111" bestFit="1" customWidth="1"/>
    <col min="8970" max="8971" width="11.42578125" style="111"/>
    <col min="8972" max="8972" width="15.140625" style="111" bestFit="1" customWidth="1"/>
    <col min="8973" max="9216" width="11.42578125" style="111"/>
    <col min="9217" max="9217" width="11.28515625" style="111" customWidth="1"/>
    <col min="9218" max="9218" width="7.140625" style="111" bestFit="1" customWidth="1"/>
    <col min="9219" max="9219" width="16.140625" style="111" bestFit="1" customWidth="1"/>
    <col min="9220" max="9220" width="6.28515625" style="111" customWidth="1"/>
    <col min="9221" max="9221" width="14.140625" style="111" bestFit="1" customWidth="1"/>
    <col min="9222" max="9222" width="18.7109375" style="111" customWidth="1"/>
    <col min="9223" max="9223" width="14.7109375" style="111" customWidth="1"/>
    <col min="9224" max="9224" width="18.28515625" style="111" customWidth="1"/>
    <col min="9225" max="9225" width="15.140625" style="111" bestFit="1" customWidth="1"/>
    <col min="9226" max="9227" width="11.42578125" style="111"/>
    <col min="9228" max="9228" width="15.140625" style="111" bestFit="1" customWidth="1"/>
    <col min="9229" max="9472" width="11.42578125" style="111"/>
    <col min="9473" max="9473" width="11.28515625" style="111" customWidth="1"/>
    <col min="9474" max="9474" width="7.140625" style="111" bestFit="1" customWidth="1"/>
    <col min="9475" max="9475" width="16.140625" style="111" bestFit="1" customWidth="1"/>
    <col min="9476" max="9476" width="6.28515625" style="111" customWidth="1"/>
    <col min="9477" max="9477" width="14.140625" style="111" bestFit="1" customWidth="1"/>
    <col min="9478" max="9478" width="18.7109375" style="111" customWidth="1"/>
    <col min="9479" max="9479" width="14.7109375" style="111" customWidth="1"/>
    <col min="9480" max="9480" width="18.28515625" style="111" customWidth="1"/>
    <col min="9481" max="9481" width="15.140625" style="111" bestFit="1" customWidth="1"/>
    <col min="9482" max="9483" width="11.42578125" style="111"/>
    <col min="9484" max="9484" width="15.140625" style="111" bestFit="1" customWidth="1"/>
    <col min="9485" max="9728" width="11.42578125" style="111"/>
    <col min="9729" max="9729" width="11.28515625" style="111" customWidth="1"/>
    <col min="9730" max="9730" width="7.140625" style="111" bestFit="1" customWidth="1"/>
    <col min="9731" max="9731" width="16.140625" style="111" bestFit="1" customWidth="1"/>
    <col min="9732" max="9732" width="6.28515625" style="111" customWidth="1"/>
    <col min="9733" max="9733" width="14.140625" style="111" bestFit="1" customWidth="1"/>
    <col min="9734" max="9734" width="18.7109375" style="111" customWidth="1"/>
    <col min="9735" max="9735" width="14.7109375" style="111" customWidth="1"/>
    <col min="9736" max="9736" width="18.28515625" style="111" customWidth="1"/>
    <col min="9737" max="9737" width="15.140625" style="111" bestFit="1" customWidth="1"/>
    <col min="9738" max="9739" width="11.42578125" style="111"/>
    <col min="9740" max="9740" width="15.140625" style="111" bestFit="1" customWidth="1"/>
    <col min="9741" max="9984" width="11.42578125" style="111"/>
    <col min="9985" max="9985" width="11.28515625" style="111" customWidth="1"/>
    <col min="9986" max="9986" width="7.140625" style="111" bestFit="1" customWidth="1"/>
    <col min="9987" max="9987" width="16.140625" style="111" bestFit="1" customWidth="1"/>
    <col min="9988" max="9988" width="6.28515625" style="111" customWidth="1"/>
    <col min="9989" max="9989" width="14.140625" style="111" bestFit="1" customWidth="1"/>
    <col min="9990" max="9990" width="18.7109375" style="111" customWidth="1"/>
    <col min="9991" max="9991" width="14.7109375" style="111" customWidth="1"/>
    <col min="9992" max="9992" width="18.28515625" style="111" customWidth="1"/>
    <col min="9993" max="9993" width="15.140625" style="111" bestFit="1" customWidth="1"/>
    <col min="9994" max="9995" width="11.42578125" style="111"/>
    <col min="9996" max="9996" width="15.140625" style="111" bestFit="1" customWidth="1"/>
    <col min="9997" max="10240" width="11.42578125" style="111"/>
    <col min="10241" max="10241" width="11.28515625" style="111" customWidth="1"/>
    <col min="10242" max="10242" width="7.140625" style="111" bestFit="1" customWidth="1"/>
    <col min="10243" max="10243" width="16.140625" style="111" bestFit="1" customWidth="1"/>
    <col min="10244" max="10244" width="6.28515625" style="111" customWidth="1"/>
    <col min="10245" max="10245" width="14.140625" style="111" bestFit="1" customWidth="1"/>
    <col min="10246" max="10246" width="18.7109375" style="111" customWidth="1"/>
    <col min="10247" max="10247" width="14.7109375" style="111" customWidth="1"/>
    <col min="10248" max="10248" width="18.28515625" style="111" customWidth="1"/>
    <col min="10249" max="10249" width="15.140625" style="111" bestFit="1" customWidth="1"/>
    <col min="10250" max="10251" width="11.42578125" style="111"/>
    <col min="10252" max="10252" width="15.140625" style="111" bestFit="1" customWidth="1"/>
    <col min="10253" max="10496" width="11.42578125" style="111"/>
    <col min="10497" max="10497" width="11.28515625" style="111" customWidth="1"/>
    <col min="10498" max="10498" width="7.140625" style="111" bestFit="1" customWidth="1"/>
    <col min="10499" max="10499" width="16.140625" style="111" bestFit="1" customWidth="1"/>
    <col min="10500" max="10500" width="6.28515625" style="111" customWidth="1"/>
    <col min="10501" max="10501" width="14.140625" style="111" bestFit="1" customWidth="1"/>
    <col min="10502" max="10502" width="18.7109375" style="111" customWidth="1"/>
    <col min="10503" max="10503" width="14.7109375" style="111" customWidth="1"/>
    <col min="10504" max="10504" width="18.28515625" style="111" customWidth="1"/>
    <col min="10505" max="10505" width="15.140625" style="111" bestFit="1" customWidth="1"/>
    <col min="10506" max="10507" width="11.42578125" style="111"/>
    <col min="10508" max="10508" width="15.140625" style="111" bestFit="1" customWidth="1"/>
    <col min="10509" max="10752" width="11.42578125" style="111"/>
    <col min="10753" max="10753" width="11.28515625" style="111" customWidth="1"/>
    <col min="10754" max="10754" width="7.140625" style="111" bestFit="1" customWidth="1"/>
    <col min="10755" max="10755" width="16.140625" style="111" bestFit="1" customWidth="1"/>
    <col min="10756" max="10756" width="6.28515625" style="111" customWidth="1"/>
    <col min="10757" max="10757" width="14.140625" style="111" bestFit="1" customWidth="1"/>
    <col min="10758" max="10758" width="18.7109375" style="111" customWidth="1"/>
    <col min="10759" max="10759" width="14.7109375" style="111" customWidth="1"/>
    <col min="10760" max="10760" width="18.28515625" style="111" customWidth="1"/>
    <col min="10761" max="10761" width="15.140625" style="111" bestFit="1" customWidth="1"/>
    <col min="10762" max="10763" width="11.42578125" style="111"/>
    <col min="10764" max="10764" width="15.140625" style="111" bestFit="1" customWidth="1"/>
    <col min="10765" max="11008" width="11.42578125" style="111"/>
    <col min="11009" max="11009" width="11.28515625" style="111" customWidth="1"/>
    <col min="11010" max="11010" width="7.140625" style="111" bestFit="1" customWidth="1"/>
    <col min="11011" max="11011" width="16.140625" style="111" bestFit="1" customWidth="1"/>
    <col min="11012" max="11012" width="6.28515625" style="111" customWidth="1"/>
    <col min="11013" max="11013" width="14.140625" style="111" bestFit="1" customWidth="1"/>
    <col min="11014" max="11014" width="18.7109375" style="111" customWidth="1"/>
    <col min="11015" max="11015" width="14.7109375" style="111" customWidth="1"/>
    <col min="11016" max="11016" width="18.28515625" style="111" customWidth="1"/>
    <col min="11017" max="11017" width="15.140625" style="111" bestFit="1" customWidth="1"/>
    <col min="11018" max="11019" width="11.42578125" style="111"/>
    <col min="11020" max="11020" width="15.140625" style="111" bestFit="1" customWidth="1"/>
    <col min="11021" max="11264" width="11.42578125" style="111"/>
    <col min="11265" max="11265" width="11.28515625" style="111" customWidth="1"/>
    <col min="11266" max="11266" width="7.140625" style="111" bestFit="1" customWidth="1"/>
    <col min="11267" max="11267" width="16.140625" style="111" bestFit="1" customWidth="1"/>
    <col min="11268" max="11268" width="6.28515625" style="111" customWidth="1"/>
    <col min="11269" max="11269" width="14.140625" style="111" bestFit="1" customWidth="1"/>
    <col min="11270" max="11270" width="18.7109375" style="111" customWidth="1"/>
    <col min="11271" max="11271" width="14.7109375" style="111" customWidth="1"/>
    <col min="11272" max="11272" width="18.28515625" style="111" customWidth="1"/>
    <col min="11273" max="11273" width="15.140625" style="111" bestFit="1" customWidth="1"/>
    <col min="11274" max="11275" width="11.42578125" style="111"/>
    <col min="11276" max="11276" width="15.140625" style="111" bestFit="1" customWidth="1"/>
    <col min="11277" max="11520" width="11.42578125" style="111"/>
    <col min="11521" max="11521" width="11.28515625" style="111" customWidth="1"/>
    <col min="11522" max="11522" width="7.140625" style="111" bestFit="1" customWidth="1"/>
    <col min="11523" max="11523" width="16.140625" style="111" bestFit="1" customWidth="1"/>
    <col min="11524" max="11524" width="6.28515625" style="111" customWidth="1"/>
    <col min="11525" max="11525" width="14.140625" style="111" bestFit="1" customWidth="1"/>
    <col min="11526" max="11526" width="18.7109375" style="111" customWidth="1"/>
    <col min="11527" max="11527" width="14.7109375" style="111" customWidth="1"/>
    <col min="11528" max="11528" width="18.28515625" style="111" customWidth="1"/>
    <col min="11529" max="11529" width="15.140625" style="111" bestFit="1" customWidth="1"/>
    <col min="11530" max="11531" width="11.42578125" style="111"/>
    <col min="11532" max="11532" width="15.140625" style="111" bestFit="1" customWidth="1"/>
    <col min="11533" max="11776" width="11.42578125" style="111"/>
    <col min="11777" max="11777" width="11.28515625" style="111" customWidth="1"/>
    <col min="11778" max="11778" width="7.140625" style="111" bestFit="1" customWidth="1"/>
    <col min="11779" max="11779" width="16.140625" style="111" bestFit="1" customWidth="1"/>
    <col min="11780" max="11780" width="6.28515625" style="111" customWidth="1"/>
    <col min="11781" max="11781" width="14.140625" style="111" bestFit="1" customWidth="1"/>
    <col min="11782" max="11782" width="18.7109375" style="111" customWidth="1"/>
    <col min="11783" max="11783" width="14.7109375" style="111" customWidth="1"/>
    <col min="11784" max="11784" width="18.28515625" style="111" customWidth="1"/>
    <col min="11785" max="11785" width="15.140625" style="111" bestFit="1" customWidth="1"/>
    <col min="11786" max="11787" width="11.42578125" style="111"/>
    <col min="11788" max="11788" width="15.140625" style="111" bestFit="1" customWidth="1"/>
    <col min="11789" max="12032" width="11.42578125" style="111"/>
    <col min="12033" max="12033" width="11.28515625" style="111" customWidth="1"/>
    <col min="12034" max="12034" width="7.140625" style="111" bestFit="1" customWidth="1"/>
    <col min="12035" max="12035" width="16.140625" style="111" bestFit="1" customWidth="1"/>
    <col min="12036" max="12036" width="6.28515625" style="111" customWidth="1"/>
    <col min="12037" max="12037" width="14.140625" style="111" bestFit="1" customWidth="1"/>
    <col min="12038" max="12038" width="18.7109375" style="111" customWidth="1"/>
    <col min="12039" max="12039" width="14.7109375" style="111" customWidth="1"/>
    <col min="12040" max="12040" width="18.28515625" style="111" customWidth="1"/>
    <col min="12041" max="12041" width="15.140625" style="111" bestFit="1" customWidth="1"/>
    <col min="12042" max="12043" width="11.42578125" style="111"/>
    <col min="12044" max="12044" width="15.140625" style="111" bestFit="1" customWidth="1"/>
    <col min="12045" max="12288" width="11.42578125" style="111"/>
    <col min="12289" max="12289" width="11.28515625" style="111" customWidth="1"/>
    <col min="12290" max="12290" width="7.140625" style="111" bestFit="1" customWidth="1"/>
    <col min="12291" max="12291" width="16.140625" style="111" bestFit="1" customWidth="1"/>
    <col min="12292" max="12292" width="6.28515625" style="111" customWidth="1"/>
    <col min="12293" max="12293" width="14.140625" style="111" bestFit="1" customWidth="1"/>
    <col min="12294" max="12294" width="18.7109375" style="111" customWidth="1"/>
    <col min="12295" max="12295" width="14.7109375" style="111" customWidth="1"/>
    <col min="12296" max="12296" width="18.28515625" style="111" customWidth="1"/>
    <col min="12297" max="12297" width="15.140625" style="111" bestFit="1" customWidth="1"/>
    <col min="12298" max="12299" width="11.42578125" style="111"/>
    <col min="12300" max="12300" width="15.140625" style="111" bestFit="1" customWidth="1"/>
    <col min="12301" max="12544" width="11.42578125" style="111"/>
    <col min="12545" max="12545" width="11.28515625" style="111" customWidth="1"/>
    <col min="12546" max="12546" width="7.140625" style="111" bestFit="1" customWidth="1"/>
    <col min="12547" max="12547" width="16.140625" style="111" bestFit="1" customWidth="1"/>
    <col min="12548" max="12548" width="6.28515625" style="111" customWidth="1"/>
    <col min="12549" max="12549" width="14.140625" style="111" bestFit="1" customWidth="1"/>
    <col min="12550" max="12550" width="18.7109375" style="111" customWidth="1"/>
    <col min="12551" max="12551" width="14.7109375" style="111" customWidth="1"/>
    <col min="12552" max="12552" width="18.28515625" style="111" customWidth="1"/>
    <col min="12553" max="12553" width="15.140625" style="111" bestFit="1" customWidth="1"/>
    <col min="12554" max="12555" width="11.42578125" style="111"/>
    <col min="12556" max="12556" width="15.140625" style="111" bestFit="1" customWidth="1"/>
    <col min="12557" max="12800" width="11.42578125" style="111"/>
    <col min="12801" max="12801" width="11.28515625" style="111" customWidth="1"/>
    <col min="12802" max="12802" width="7.140625" style="111" bestFit="1" customWidth="1"/>
    <col min="12803" max="12803" width="16.140625" style="111" bestFit="1" customWidth="1"/>
    <col min="12804" max="12804" width="6.28515625" style="111" customWidth="1"/>
    <col min="12805" max="12805" width="14.140625" style="111" bestFit="1" customWidth="1"/>
    <col min="12806" max="12806" width="18.7109375" style="111" customWidth="1"/>
    <col min="12807" max="12807" width="14.7109375" style="111" customWidth="1"/>
    <col min="12808" max="12808" width="18.28515625" style="111" customWidth="1"/>
    <col min="12809" max="12809" width="15.140625" style="111" bestFit="1" customWidth="1"/>
    <col min="12810" max="12811" width="11.42578125" style="111"/>
    <col min="12812" max="12812" width="15.140625" style="111" bestFit="1" customWidth="1"/>
    <col min="12813" max="13056" width="11.42578125" style="111"/>
    <col min="13057" max="13057" width="11.28515625" style="111" customWidth="1"/>
    <col min="13058" max="13058" width="7.140625" style="111" bestFit="1" customWidth="1"/>
    <col min="13059" max="13059" width="16.140625" style="111" bestFit="1" customWidth="1"/>
    <col min="13060" max="13060" width="6.28515625" style="111" customWidth="1"/>
    <col min="13061" max="13061" width="14.140625" style="111" bestFit="1" customWidth="1"/>
    <col min="13062" max="13062" width="18.7109375" style="111" customWidth="1"/>
    <col min="13063" max="13063" width="14.7109375" style="111" customWidth="1"/>
    <col min="13064" max="13064" width="18.28515625" style="111" customWidth="1"/>
    <col min="13065" max="13065" width="15.140625" style="111" bestFit="1" customWidth="1"/>
    <col min="13066" max="13067" width="11.42578125" style="111"/>
    <col min="13068" max="13068" width="15.140625" style="111" bestFit="1" customWidth="1"/>
    <col min="13069" max="13312" width="11.42578125" style="111"/>
    <col min="13313" max="13313" width="11.28515625" style="111" customWidth="1"/>
    <col min="13314" max="13314" width="7.140625" style="111" bestFit="1" customWidth="1"/>
    <col min="13315" max="13315" width="16.140625" style="111" bestFit="1" customWidth="1"/>
    <col min="13316" max="13316" width="6.28515625" style="111" customWidth="1"/>
    <col min="13317" max="13317" width="14.140625" style="111" bestFit="1" customWidth="1"/>
    <col min="13318" max="13318" width="18.7109375" style="111" customWidth="1"/>
    <col min="13319" max="13319" width="14.7109375" style="111" customWidth="1"/>
    <col min="13320" max="13320" width="18.28515625" style="111" customWidth="1"/>
    <col min="13321" max="13321" width="15.140625" style="111" bestFit="1" customWidth="1"/>
    <col min="13322" max="13323" width="11.42578125" style="111"/>
    <col min="13324" max="13324" width="15.140625" style="111" bestFit="1" customWidth="1"/>
    <col min="13325" max="13568" width="11.42578125" style="111"/>
    <col min="13569" max="13569" width="11.28515625" style="111" customWidth="1"/>
    <col min="13570" max="13570" width="7.140625" style="111" bestFit="1" customWidth="1"/>
    <col min="13571" max="13571" width="16.140625" style="111" bestFit="1" customWidth="1"/>
    <col min="13572" max="13572" width="6.28515625" style="111" customWidth="1"/>
    <col min="13573" max="13573" width="14.140625" style="111" bestFit="1" customWidth="1"/>
    <col min="13574" max="13574" width="18.7109375" style="111" customWidth="1"/>
    <col min="13575" max="13575" width="14.7109375" style="111" customWidth="1"/>
    <col min="13576" max="13576" width="18.28515625" style="111" customWidth="1"/>
    <col min="13577" max="13577" width="15.140625" style="111" bestFit="1" customWidth="1"/>
    <col min="13578" max="13579" width="11.42578125" style="111"/>
    <col min="13580" max="13580" width="15.140625" style="111" bestFit="1" customWidth="1"/>
    <col min="13581" max="13824" width="11.42578125" style="111"/>
    <col min="13825" max="13825" width="11.28515625" style="111" customWidth="1"/>
    <col min="13826" max="13826" width="7.140625" style="111" bestFit="1" customWidth="1"/>
    <col min="13827" max="13827" width="16.140625" style="111" bestFit="1" customWidth="1"/>
    <col min="13828" max="13828" width="6.28515625" style="111" customWidth="1"/>
    <col min="13829" max="13829" width="14.140625" style="111" bestFit="1" customWidth="1"/>
    <col min="13830" max="13830" width="18.7109375" style="111" customWidth="1"/>
    <col min="13831" max="13831" width="14.7109375" style="111" customWidth="1"/>
    <col min="13832" max="13832" width="18.28515625" style="111" customWidth="1"/>
    <col min="13833" max="13833" width="15.140625" style="111" bestFit="1" customWidth="1"/>
    <col min="13834" max="13835" width="11.42578125" style="111"/>
    <col min="13836" max="13836" width="15.140625" style="111" bestFit="1" customWidth="1"/>
    <col min="13837" max="14080" width="11.42578125" style="111"/>
    <col min="14081" max="14081" width="11.28515625" style="111" customWidth="1"/>
    <col min="14082" max="14082" width="7.140625" style="111" bestFit="1" customWidth="1"/>
    <col min="14083" max="14083" width="16.140625" style="111" bestFit="1" customWidth="1"/>
    <col min="14084" max="14084" width="6.28515625" style="111" customWidth="1"/>
    <col min="14085" max="14085" width="14.140625" style="111" bestFit="1" customWidth="1"/>
    <col min="14086" max="14086" width="18.7109375" style="111" customWidth="1"/>
    <col min="14087" max="14087" width="14.7109375" style="111" customWidth="1"/>
    <col min="14088" max="14088" width="18.28515625" style="111" customWidth="1"/>
    <col min="14089" max="14089" width="15.140625" style="111" bestFit="1" customWidth="1"/>
    <col min="14090" max="14091" width="11.42578125" style="111"/>
    <col min="14092" max="14092" width="15.140625" style="111" bestFit="1" customWidth="1"/>
    <col min="14093" max="14336" width="11.42578125" style="111"/>
    <col min="14337" max="14337" width="11.28515625" style="111" customWidth="1"/>
    <col min="14338" max="14338" width="7.140625" style="111" bestFit="1" customWidth="1"/>
    <col min="14339" max="14339" width="16.140625" style="111" bestFit="1" customWidth="1"/>
    <col min="14340" max="14340" width="6.28515625" style="111" customWidth="1"/>
    <col min="14341" max="14341" width="14.140625" style="111" bestFit="1" customWidth="1"/>
    <col min="14342" max="14342" width="18.7109375" style="111" customWidth="1"/>
    <col min="14343" max="14343" width="14.7109375" style="111" customWidth="1"/>
    <col min="14344" max="14344" width="18.28515625" style="111" customWidth="1"/>
    <col min="14345" max="14345" width="15.140625" style="111" bestFit="1" customWidth="1"/>
    <col min="14346" max="14347" width="11.42578125" style="111"/>
    <col min="14348" max="14348" width="15.140625" style="111" bestFit="1" customWidth="1"/>
    <col min="14349" max="14592" width="11.42578125" style="111"/>
    <col min="14593" max="14593" width="11.28515625" style="111" customWidth="1"/>
    <col min="14594" max="14594" width="7.140625" style="111" bestFit="1" customWidth="1"/>
    <col min="14595" max="14595" width="16.140625" style="111" bestFit="1" customWidth="1"/>
    <col min="14596" max="14596" width="6.28515625" style="111" customWidth="1"/>
    <col min="14597" max="14597" width="14.140625" style="111" bestFit="1" customWidth="1"/>
    <col min="14598" max="14598" width="18.7109375" style="111" customWidth="1"/>
    <col min="14599" max="14599" width="14.7109375" style="111" customWidth="1"/>
    <col min="14600" max="14600" width="18.28515625" style="111" customWidth="1"/>
    <col min="14601" max="14601" width="15.140625" style="111" bestFit="1" customWidth="1"/>
    <col min="14602" max="14603" width="11.42578125" style="111"/>
    <col min="14604" max="14604" width="15.140625" style="111" bestFit="1" customWidth="1"/>
    <col min="14605" max="14848" width="11.42578125" style="111"/>
    <col min="14849" max="14849" width="11.28515625" style="111" customWidth="1"/>
    <col min="14850" max="14850" width="7.140625" style="111" bestFit="1" customWidth="1"/>
    <col min="14851" max="14851" width="16.140625" style="111" bestFit="1" customWidth="1"/>
    <col min="14852" max="14852" width="6.28515625" style="111" customWidth="1"/>
    <col min="14853" max="14853" width="14.140625" style="111" bestFit="1" customWidth="1"/>
    <col min="14854" max="14854" width="18.7109375" style="111" customWidth="1"/>
    <col min="14855" max="14855" width="14.7109375" style="111" customWidth="1"/>
    <col min="14856" max="14856" width="18.28515625" style="111" customWidth="1"/>
    <col min="14857" max="14857" width="15.140625" style="111" bestFit="1" customWidth="1"/>
    <col min="14858" max="14859" width="11.42578125" style="111"/>
    <col min="14860" max="14860" width="15.140625" style="111" bestFit="1" customWidth="1"/>
    <col min="14861" max="15104" width="11.42578125" style="111"/>
    <col min="15105" max="15105" width="11.28515625" style="111" customWidth="1"/>
    <col min="15106" max="15106" width="7.140625" style="111" bestFit="1" customWidth="1"/>
    <col min="15107" max="15107" width="16.140625" style="111" bestFit="1" customWidth="1"/>
    <col min="15108" max="15108" width="6.28515625" style="111" customWidth="1"/>
    <col min="15109" max="15109" width="14.140625" style="111" bestFit="1" customWidth="1"/>
    <col min="15110" max="15110" width="18.7109375" style="111" customWidth="1"/>
    <col min="15111" max="15111" width="14.7109375" style="111" customWidth="1"/>
    <col min="15112" max="15112" width="18.28515625" style="111" customWidth="1"/>
    <col min="15113" max="15113" width="15.140625" style="111" bestFit="1" customWidth="1"/>
    <col min="15114" max="15115" width="11.42578125" style="111"/>
    <col min="15116" max="15116" width="15.140625" style="111" bestFit="1" customWidth="1"/>
    <col min="15117" max="15360" width="11.42578125" style="111"/>
    <col min="15361" max="15361" width="11.28515625" style="111" customWidth="1"/>
    <col min="15362" max="15362" width="7.140625" style="111" bestFit="1" customWidth="1"/>
    <col min="15363" max="15363" width="16.140625" style="111" bestFit="1" customWidth="1"/>
    <col min="15364" max="15364" width="6.28515625" style="111" customWidth="1"/>
    <col min="15365" max="15365" width="14.140625" style="111" bestFit="1" customWidth="1"/>
    <col min="15366" max="15366" width="18.7109375" style="111" customWidth="1"/>
    <col min="15367" max="15367" width="14.7109375" style="111" customWidth="1"/>
    <col min="15368" max="15368" width="18.28515625" style="111" customWidth="1"/>
    <col min="15369" max="15369" width="15.140625" style="111" bestFit="1" customWidth="1"/>
    <col min="15370" max="15371" width="11.42578125" style="111"/>
    <col min="15372" max="15372" width="15.140625" style="111" bestFit="1" customWidth="1"/>
    <col min="15373" max="15616" width="11.42578125" style="111"/>
    <col min="15617" max="15617" width="11.28515625" style="111" customWidth="1"/>
    <col min="15618" max="15618" width="7.140625" style="111" bestFit="1" customWidth="1"/>
    <col min="15619" max="15619" width="16.140625" style="111" bestFit="1" customWidth="1"/>
    <col min="15620" max="15620" width="6.28515625" style="111" customWidth="1"/>
    <col min="15621" max="15621" width="14.140625" style="111" bestFit="1" customWidth="1"/>
    <col min="15622" max="15622" width="18.7109375" style="111" customWidth="1"/>
    <col min="15623" max="15623" width="14.7109375" style="111" customWidth="1"/>
    <col min="15624" max="15624" width="18.28515625" style="111" customWidth="1"/>
    <col min="15625" max="15625" width="15.140625" style="111" bestFit="1" customWidth="1"/>
    <col min="15626" max="15627" width="11.42578125" style="111"/>
    <col min="15628" max="15628" width="15.140625" style="111" bestFit="1" customWidth="1"/>
    <col min="15629" max="15872" width="11.42578125" style="111"/>
    <col min="15873" max="15873" width="11.28515625" style="111" customWidth="1"/>
    <col min="15874" max="15874" width="7.140625" style="111" bestFit="1" customWidth="1"/>
    <col min="15875" max="15875" width="16.140625" style="111" bestFit="1" customWidth="1"/>
    <col min="15876" max="15876" width="6.28515625" style="111" customWidth="1"/>
    <col min="15877" max="15877" width="14.140625" style="111" bestFit="1" customWidth="1"/>
    <col min="15878" max="15878" width="18.7109375" style="111" customWidth="1"/>
    <col min="15879" max="15879" width="14.7109375" style="111" customWidth="1"/>
    <col min="15880" max="15880" width="18.28515625" style="111" customWidth="1"/>
    <col min="15881" max="15881" width="15.140625" style="111" bestFit="1" customWidth="1"/>
    <col min="15882" max="15883" width="11.42578125" style="111"/>
    <col min="15884" max="15884" width="15.140625" style="111" bestFit="1" customWidth="1"/>
    <col min="15885" max="16128" width="11.42578125" style="111"/>
    <col min="16129" max="16129" width="11.28515625" style="111" customWidth="1"/>
    <col min="16130" max="16130" width="7.140625" style="111" bestFit="1" customWidth="1"/>
    <col min="16131" max="16131" width="16.140625" style="111" bestFit="1" customWidth="1"/>
    <col min="16132" max="16132" width="6.28515625" style="111" customWidth="1"/>
    <col min="16133" max="16133" width="14.140625" style="111" bestFit="1" customWidth="1"/>
    <col min="16134" max="16134" width="18.7109375" style="111" customWidth="1"/>
    <col min="16135" max="16135" width="14.7109375" style="111" customWidth="1"/>
    <col min="16136" max="16136" width="18.28515625" style="111" customWidth="1"/>
    <col min="16137" max="16137" width="15.140625" style="111" bestFit="1" customWidth="1"/>
    <col min="16138" max="16139" width="11.42578125" style="111"/>
    <col min="16140" max="16140" width="15.140625" style="111" bestFit="1" customWidth="1"/>
    <col min="16141" max="16384" width="11.42578125" style="111"/>
  </cols>
  <sheetData>
    <row r="1" spans="1:10" ht="50.25" customHeight="1">
      <c r="A1" s="256" t="s">
        <v>440</v>
      </c>
      <c r="B1" s="257"/>
      <c r="C1" s="257"/>
      <c r="D1" s="257"/>
      <c r="E1" s="257"/>
      <c r="F1" s="258"/>
      <c r="G1" s="256"/>
      <c r="H1" s="258"/>
    </row>
    <row r="2" spans="1:10" ht="50.25" customHeight="1" thickBot="1">
      <c r="A2" s="259" t="s">
        <v>441</v>
      </c>
      <c r="B2" s="260"/>
      <c r="C2" s="260"/>
      <c r="D2" s="260"/>
      <c r="E2" s="260"/>
      <c r="F2" s="261"/>
      <c r="G2" s="259"/>
      <c r="H2" s="261"/>
    </row>
    <row r="3" spans="1:10" ht="21.75" customHeight="1" thickBot="1">
      <c r="A3" s="252"/>
      <c r="B3" s="252"/>
      <c r="C3" s="252"/>
      <c r="D3" s="252"/>
      <c r="E3" s="252"/>
      <c r="F3" s="252"/>
      <c r="G3" s="252"/>
      <c r="H3" s="252"/>
    </row>
    <row r="4" spans="1:10" ht="21" customHeight="1" thickBot="1">
      <c r="A4" s="253" t="s">
        <v>506</v>
      </c>
      <c r="B4" s="254"/>
      <c r="C4" s="254"/>
      <c r="D4" s="254"/>
      <c r="E4" s="254"/>
      <c r="F4" s="254"/>
      <c r="G4" s="254"/>
      <c r="H4" s="255"/>
    </row>
    <row r="5" spans="1:10" ht="2.25" customHeight="1" thickBot="1">
      <c r="A5" s="112"/>
      <c r="B5" s="113"/>
      <c r="C5" s="113"/>
      <c r="D5" s="113"/>
      <c r="E5" s="113"/>
      <c r="F5" s="113"/>
      <c r="G5" s="113"/>
      <c r="H5" s="114"/>
    </row>
    <row r="6" spans="1:10" ht="24" customHeight="1" thickBot="1">
      <c r="A6" s="262" t="s">
        <v>433</v>
      </c>
      <c r="B6" s="263"/>
      <c r="C6" s="263"/>
      <c r="D6" s="263"/>
      <c r="E6" s="263"/>
      <c r="F6" s="263"/>
      <c r="G6" s="263"/>
      <c r="H6" s="264"/>
    </row>
    <row r="7" spans="1:10" ht="27" customHeight="1">
      <c r="A7" s="115" t="s">
        <v>359</v>
      </c>
      <c r="B7" s="116"/>
      <c r="C7" s="265">
        <f>'Detalle de Presupuesto'!G31</f>
        <v>21965869.112</v>
      </c>
      <c r="D7" s="265"/>
      <c r="E7" s="117"/>
      <c r="F7" s="118" t="s">
        <v>515</v>
      </c>
      <c r="G7" s="119">
        <f>+C7*0.26</f>
        <v>5711125.9691200005</v>
      </c>
      <c r="H7" s="266"/>
      <c r="J7" s="120"/>
    </row>
    <row r="8" spans="1:10" s="125" customFormat="1" ht="24" customHeight="1">
      <c r="A8" s="267" t="s">
        <v>360</v>
      </c>
      <c r="B8" s="268"/>
      <c r="C8" s="268"/>
      <c r="D8" s="121">
        <v>2</v>
      </c>
      <c r="E8" s="122"/>
      <c r="F8" s="123"/>
      <c r="G8" s="124"/>
      <c r="H8" s="266"/>
    </row>
    <row r="9" spans="1:10" s="125" customFormat="1" ht="24" customHeight="1" thickBot="1">
      <c r="A9" s="126" t="s">
        <v>361</v>
      </c>
      <c r="C9" s="269">
        <v>0</v>
      </c>
      <c r="D9" s="269"/>
      <c r="E9" s="122"/>
      <c r="F9" s="123" t="s">
        <v>362</v>
      </c>
      <c r="G9" s="127">
        <f>C7+G7</f>
        <v>27676995.081119999</v>
      </c>
      <c r="H9" s="266"/>
    </row>
    <row r="10" spans="1:10" ht="18.75" customHeight="1" thickBot="1">
      <c r="A10" s="272" t="s">
        <v>363</v>
      </c>
      <c r="B10" s="273"/>
      <c r="C10" s="273"/>
      <c r="D10" s="273"/>
      <c r="E10" s="273"/>
      <c r="F10" s="273"/>
      <c r="G10" s="273"/>
      <c r="H10" s="274"/>
      <c r="J10" s="128"/>
    </row>
    <row r="11" spans="1:10" ht="19.5" customHeight="1" thickBot="1">
      <c r="A11" s="275" t="s">
        <v>364</v>
      </c>
      <c r="B11" s="276"/>
      <c r="C11" s="276"/>
      <c r="D11" s="276"/>
      <c r="E11" s="276"/>
      <c r="F11" s="276"/>
      <c r="G11" s="276"/>
      <c r="H11" s="277"/>
      <c r="I11" s="129"/>
    </row>
    <row r="12" spans="1:10" ht="29.25" customHeight="1" thickBot="1">
      <c r="A12" s="278" t="s">
        <v>31</v>
      </c>
      <c r="B12" s="279"/>
      <c r="C12" s="130" t="s">
        <v>30</v>
      </c>
      <c r="D12" s="130" t="s">
        <v>366</v>
      </c>
      <c r="E12" s="130" t="s">
        <v>365</v>
      </c>
      <c r="F12" s="130" t="s">
        <v>367</v>
      </c>
      <c r="G12" s="130" t="s">
        <v>368</v>
      </c>
      <c r="H12" s="131" t="s">
        <v>369</v>
      </c>
    </row>
    <row r="13" spans="1:10">
      <c r="A13" s="280" t="s">
        <v>370</v>
      </c>
      <c r="B13" s="281"/>
      <c r="C13" s="132">
        <v>1</v>
      </c>
      <c r="D13" s="132">
        <v>0</v>
      </c>
      <c r="E13" s="157">
        <v>0</v>
      </c>
      <c r="F13" s="133">
        <v>5500000</v>
      </c>
      <c r="G13" s="134">
        <f>((F13+(F13/2))*D13)*E13</f>
        <v>0</v>
      </c>
      <c r="H13" s="135">
        <f>+G13/$C$7</f>
        <v>0</v>
      </c>
    </row>
    <row r="14" spans="1:10">
      <c r="A14" s="282" t="s">
        <v>513</v>
      </c>
      <c r="B14" s="283"/>
      <c r="C14" s="206">
        <v>1</v>
      </c>
      <c r="D14" s="207">
        <v>1</v>
      </c>
      <c r="E14" s="208">
        <v>0.2</v>
      </c>
      <c r="F14" s="205">
        <v>4500000</v>
      </c>
      <c r="G14" s="209">
        <f t="shared" ref="G14:G15" si="0">((F14+(F14/2))*D14)*E14</f>
        <v>1350000</v>
      </c>
      <c r="H14" s="210">
        <f t="shared" ref="H14:H21" si="1">+G14/$C$7</f>
        <v>6.1458984077369931E-2</v>
      </c>
    </row>
    <row r="15" spans="1:10">
      <c r="A15" s="284" t="s">
        <v>371</v>
      </c>
      <c r="B15" s="285"/>
      <c r="C15" s="136">
        <v>1</v>
      </c>
      <c r="D15" s="132">
        <v>0</v>
      </c>
      <c r="E15" s="158">
        <v>0</v>
      </c>
      <c r="F15" s="137">
        <v>2800000</v>
      </c>
      <c r="G15" s="134">
        <f t="shared" si="0"/>
        <v>0</v>
      </c>
      <c r="H15" s="135">
        <f t="shared" si="1"/>
        <v>0</v>
      </c>
    </row>
    <row r="16" spans="1:10">
      <c r="A16" s="284" t="s">
        <v>372</v>
      </c>
      <c r="B16" s="285"/>
      <c r="C16" s="136">
        <v>1</v>
      </c>
      <c r="D16" s="132">
        <v>0</v>
      </c>
      <c r="E16" s="158">
        <v>0</v>
      </c>
      <c r="F16" s="137">
        <v>1700000</v>
      </c>
      <c r="G16" s="134">
        <f>((F16+(F16/2))*D16)*E16</f>
        <v>0</v>
      </c>
      <c r="H16" s="135">
        <f t="shared" si="1"/>
        <v>0</v>
      </c>
    </row>
    <row r="17" spans="1:8">
      <c r="A17" s="286" t="s">
        <v>373</v>
      </c>
      <c r="B17" s="287"/>
      <c r="C17" s="136">
        <v>1</v>
      </c>
      <c r="D17" s="132">
        <v>0</v>
      </c>
      <c r="E17" s="158">
        <v>0</v>
      </c>
      <c r="F17" s="137">
        <v>1700000</v>
      </c>
      <c r="G17" s="134">
        <f t="shared" ref="G17:G21" si="2">((F17+(F17/2))*D17)*E17</f>
        <v>0</v>
      </c>
      <c r="H17" s="135">
        <f t="shared" si="1"/>
        <v>0</v>
      </c>
    </row>
    <row r="18" spans="1:8">
      <c r="A18" s="288" t="s">
        <v>374</v>
      </c>
      <c r="B18" s="289"/>
      <c r="C18" s="136">
        <v>1</v>
      </c>
      <c r="D18" s="132">
        <v>0</v>
      </c>
      <c r="E18" s="158">
        <v>0</v>
      </c>
      <c r="F18" s="137">
        <v>2500000</v>
      </c>
      <c r="G18" s="134">
        <f t="shared" si="2"/>
        <v>0</v>
      </c>
      <c r="H18" s="135">
        <f t="shared" si="1"/>
        <v>0</v>
      </c>
    </row>
    <row r="19" spans="1:8">
      <c r="A19" s="284" t="s">
        <v>375</v>
      </c>
      <c r="B19" s="285"/>
      <c r="C19" s="136">
        <v>1</v>
      </c>
      <c r="D19" s="132">
        <v>0</v>
      </c>
      <c r="E19" s="158">
        <v>0</v>
      </c>
      <c r="F19" s="137">
        <v>1000000</v>
      </c>
      <c r="G19" s="134">
        <f t="shared" si="2"/>
        <v>0</v>
      </c>
      <c r="H19" s="135">
        <f t="shared" si="1"/>
        <v>0</v>
      </c>
    </row>
    <row r="20" spans="1:8">
      <c r="A20" s="284" t="s">
        <v>376</v>
      </c>
      <c r="B20" s="285"/>
      <c r="C20" s="136">
        <v>1</v>
      </c>
      <c r="D20" s="132">
        <v>0</v>
      </c>
      <c r="E20" s="158">
        <v>0</v>
      </c>
      <c r="F20" s="137">
        <v>1550000</v>
      </c>
      <c r="G20" s="134">
        <f t="shared" si="2"/>
        <v>0</v>
      </c>
      <c r="H20" s="135">
        <f t="shared" si="1"/>
        <v>0</v>
      </c>
    </row>
    <row r="21" spans="1:8">
      <c r="A21" s="284" t="s">
        <v>377</v>
      </c>
      <c r="B21" s="285"/>
      <c r="C21" s="136">
        <v>1</v>
      </c>
      <c r="D21" s="132">
        <v>0</v>
      </c>
      <c r="E21" s="158">
        <v>0</v>
      </c>
      <c r="F21" s="137">
        <v>1300000</v>
      </c>
      <c r="G21" s="134">
        <f t="shared" si="2"/>
        <v>0</v>
      </c>
      <c r="H21" s="135">
        <f t="shared" si="1"/>
        <v>0</v>
      </c>
    </row>
    <row r="22" spans="1:8">
      <c r="A22" s="270" t="s">
        <v>378</v>
      </c>
      <c r="B22" s="271"/>
      <c r="C22" s="271"/>
      <c r="D22" s="271"/>
      <c r="E22" s="271"/>
      <c r="F22" s="271"/>
      <c r="G22" s="134">
        <f>SUM(G13:G21)</f>
        <v>1350000</v>
      </c>
      <c r="H22" s="138">
        <f>SUM(H13:H21)</f>
        <v>6.1458984077369931E-2</v>
      </c>
    </row>
    <row r="23" spans="1:8" ht="21.75" customHeight="1">
      <c r="A23" s="275" t="s">
        <v>379</v>
      </c>
      <c r="B23" s="276"/>
      <c r="C23" s="276"/>
      <c r="D23" s="276"/>
      <c r="E23" s="276"/>
      <c r="F23" s="276"/>
      <c r="G23" s="276"/>
      <c r="H23" s="277"/>
    </row>
    <row r="24" spans="1:8">
      <c r="A24" s="290" t="s">
        <v>31</v>
      </c>
      <c r="B24" s="291"/>
      <c r="C24" s="139" t="s">
        <v>30</v>
      </c>
      <c r="D24" s="139" t="s">
        <v>29</v>
      </c>
      <c r="E24" s="139" t="s">
        <v>366</v>
      </c>
      <c r="F24" s="139" t="s">
        <v>380</v>
      </c>
      <c r="G24" s="139" t="s">
        <v>368</v>
      </c>
      <c r="H24" s="140" t="s">
        <v>369</v>
      </c>
    </row>
    <row r="25" spans="1:8">
      <c r="A25" s="284" t="s">
        <v>381</v>
      </c>
      <c r="B25" s="285"/>
      <c r="C25" s="136" t="s">
        <v>382</v>
      </c>
      <c r="D25" s="136">
        <v>0</v>
      </c>
      <c r="E25" s="136">
        <v>0</v>
      </c>
      <c r="F25" s="137">
        <v>0</v>
      </c>
      <c r="G25" s="141">
        <f t="shared" ref="G25:G30" si="3">E25*F25</f>
        <v>0</v>
      </c>
      <c r="H25" s="135">
        <f>+G25/$C$7</f>
        <v>0</v>
      </c>
    </row>
    <row r="26" spans="1:8">
      <c r="A26" s="288" t="s">
        <v>383</v>
      </c>
      <c r="B26" s="289"/>
      <c r="C26" s="136" t="s">
        <v>382</v>
      </c>
      <c r="D26" s="136">
        <v>0</v>
      </c>
      <c r="E26" s="136">
        <v>0</v>
      </c>
      <c r="F26" s="137">
        <v>0</v>
      </c>
      <c r="G26" s="141">
        <f t="shared" si="3"/>
        <v>0</v>
      </c>
      <c r="H26" s="135">
        <f>+G26/$C$7</f>
        <v>0</v>
      </c>
    </row>
    <row r="27" spans="1:8">
      <c r="A27" s="284" t="s">
        <v>384</v>
      </c>
      <c r="B27" s="285"/>
      <c r="C27" s="136" t="s">
        <v>382</v>
      </c>
      <c r="D27" s="136">
        <v>0</v>
      </c>
      <c r="E27" s="136">
        <v>0</v>
      </c>
      <c r="F27" s="137">
        <v>0</v>
      </c>
      <c r="G27" s="141">
        <f t="shared" si="3"/>
        <v>0</v>
      </c>
      <c r="H27" s="135">
        <f t="shared" ref="H27:H31" si="4">+G27/$C$7</f>
        <v>0</v>
      </c>
    </row>
    <row r="28" spans="1:8">
      <c r="A28" s="284" t="s">
        <v>385</v>
      </c>
      <c r="B28" s="285"/>
      <c r="C28" s="136" t="s">
        <v>382</v>
      </c>
      <c r="D28" s="136">
        <v>1</v>
      </c>
      <c r="E28" s="136">
        <v>1</v>
      </c>
      <c r="F28" s="137">
        <v>60000</v>
      </c>
      <c r="G28" s="141">
        <f t="shared" si="3"/>
        <v>60000</v>
      </c>
      <c r="H28" s="135">
        <f t="shared" si="4"/>
        <v>2.7315104034386635E-3</v>
      </c>
    </row>
    <row r="29" spans="1:8">
      <c r="A29" s="284" t="s">
        <v>386</v>
      </c>
      <c r="B29" s="285"/>
      <c r="C29" s="136" t="s">
        <v>382</v>
      </c>
      <c r="D29" s="136">
        <v>0</v>
      </c>
      <c r="E29" s="136">
        <v>0</v>
      </c>
      <c r="F29" s="137">
        <v>0</v>
      </c>
      <c r="G29" s="141">
        <f t="shared" si="3"/>
        <v>0</v>
      </c>
      <c r="H29" s="135">
        <f t="shared" si="4"/>
        <v>0</v>
      </c>
    </row>
    <row r="30" spans="1:8">
      <c r="A30" s="288" t="s">
        <v>387</v>
      </c>
      <c r="B30" s="289"/>
      <c r="C30" s="136" t="s">
        <v>382</v>
      </c>
      <c r="D30" s="136">
        <v>0</v>
      </c>
      <c r="E30" s="136">
        <v>0</v>
      </c>
      <c r="F30" s="137">
        <v>0</v>
      </c>
      <c r="G30" s="141">
        <f t="shared" si="3"/>
        <v>0</v>
      </c>
      <c r="H30" s="135">
        <f t="shared" si="4"/>
        <v>0</v>
      </c>
    </row>
    <row r="31" spans="1:8">
      <c r="A31" s="292" t="s">
        <v>388</v>
      </c>
      <c r="B31" s="293"/>
      <c r="C31" s="136" t="s">
        <v>382</v>
      </c>
      <c r="D31" s="136">
        <v>0</v>
      </c>
      <c r="E31" s="136">
        <v>0</v>
      </c>
      <c r="F31" s="137">
        <v>0</v>
      </c>
      <c r="G31" s="141">
        <f>E31*F31</f>
        <v>0</v>
      </c>
      <c r="H31" s="135">
        <f t="shared" si="4"/>
        <v>0</v>
      </c>
    </row>
    <row r="32" spans="1:8">
      <c r="A32" s="284" t="s">
        <v>434</v>
      </c>
      <c r="B32" s="285"/>
      <c r="C32" s="136" t="s">
        <v>382</v>
      </c>
      <c r="D32" s="132">
        <v>0</v>
      </c>
      <c r="E32" s="136">
        <v>0</v>
      </c>
      <c r="F32" s="137">
        <v>0</v>
      </c>
      <c r="G32" s="141">
        <f t="shared" ref="G32:G33" si="5">E32*F32</f>
        <v>0</v>
      </c>
      <c r="H32" s="135">
        <f>+G32/$C$7</f>
        <v>0</v>
      </c>
    </row>
    <row r="33" spans="1:8">
      <c r="A33" s="284" t="s">
        <v>435</v>
      </c>
      <c r="B33" s="285"/>
      <c r="C33" s="136" t="s">
        <v>382</v>
      </c>
      <c r="D33" s="132">
        <v>1</v>
      </c>
      <c r="E33" s="136">
        <v>1</v>
      </c>
      <c r="F33" s="137">
        <f>+$C$7*1.01%</f>
        <v>221855.2780312</v>
      </c>
      <c r="G33" s="141">
        <f t="shared" si="5"/>
        <v>221855.2780312</v>
      </c>
      <c r="H33" s="135">
        <f>+G33/$C$7</f>
        <v>1.01E-2</v>
      </c>
    </row>
    <row r="34" spans="1:8">
      <c r="A34" s="270" t="s">
        <v>389</v>
      </c>
      <c r="B34" s="271"/>
      <c r="C34" s="271"/>
      <c r="D34" s="271"/>
      <c r="E34" s="271"/>
      <c r="F34" s="271"/>
      <c r="G34" s="142">
        <f>SUM(G25:G33)</f>
        <v>281855.2780312</v>
      </c>
      <c r="H34" s="148">
        <f>SUM(H25:H33)</f>
        <v>1.2831510403438664E-2</v>
      </c>
    </row>
    <row r="35" spans="1:8" ht="21.75" customHeight="1">
      <c r="A35" s="275" t="s">
        <v>390</v>
      </c>
      <c r="B35" s="276"/>
      <c r="C35" s="276"/>
      <c r="D35" s="276"/>
      <c r="E35" s="276"/>
      <c r="F35" s="276"/>
      <c r="G35" s="276"/>
      <c r="H35" s="277"/>
    </row>
    <row r="36" spans="1:8">
      <c r="A36" s="290" t="s">
        <v>31</v>
      </c>
      <c r="B36" s="291"/>
      <c r="C36" s="139" t="s">
        <v>30</v>
      </c>
      <c r="D36" s="139" t="s">
        <v>29</v>
      </c>
      <c r="E36" s="139" t="s">
        <v>366</v>
      </c>
      <c r="F36" s="139" t="s">
        <v>380</v>
      </c>
      <c r="G36" s="139" t="s">
        <v>368</v>
      </c>
      <c r="H36" s="140" t="s">
        <v>369</v>
      </c>
    </row>
    <row r="37" spans="1:8">
      <c r="A37" s="288" t="s">
        <v>436</v>
      </c>
      <c r="B37" s="289"/>
      <c r="C37" s="136" t="s">
        <v>30</v>
      </c>
      <c r="D37" s="136">
        <v>1</v>
      </c>
      <c r="E37" s="136"/>
      <c r="F37" s="201">
        <v>0.05</v>
      </c>
      <c r="G37" s="143">
        <f t="shared" ref="G37:G41" si="6">+$C$7*F37</f>
        <v>1098293.4556</v>
      </c>
      <c r="H37" s="144">
        <f t="shared" ref="H37:H41" si="7">+G37/$C$7</f>
        <v>0.05</v>
      </c>
    </row>
    <row r="38" spans="1:8" ht="21" customHeight="1">
      <c r="A38" s="288" t="s">
        <v>437</v>
      </c>
      <c r="B38" s="289" t="s">
        <v>437</v>
      </c>
      <c r="C38" s="136" t="s">
        <v>30</v>
      </c>
      <c r="D38" s="136">
        <v>1</v>
      </c>
      <c r="E38" s="136"/>
      <c r="F38" s="201">
        <v>0.02</v>
      </c>
      <c r="G38" s="145">
        <f>+$C$7*F38</f>
        <v>439317.38224000001</v>
      </c>
      <c r="H38" s="144">
        <f t="shared" si="7"/>
        <v>0.02</v>
      </c>
    </row>
    <row r="39" spans="1:8" ht="21" customHeight="1">
      <c r="A39" s="288" t="s">
        <v>496</v>
      </c>
      <c r="B39" s="289" t="s">
        <v>437</v>
      </c>
      <c r="C39" s="136" t="s">
        <v>30</v>
      </c>
      <c r="D39" s="136">
        <v>1</v>
      </c>
      <c r="E39" s="136"/>
      <c r="F39" s="201">
        <v>0.04</v>
      </c>
      <c r="G39" s="145">
        <f>+$C$7*F39</f>
        <v>878634.76448000001</v>
      </c>
      <c r="H39" s="144">
        <f t="shared" ref="H39" si="8">+G39/$C$7</f>
        <v>0.04</v>
      </c>
    </row>
    <row r="40" spans="1:8" ht="15" customHeight="1">
      <c r="A40" s="288" t="s">
        <v>438</v>
      </c>
      <c r="B40" s="289"/>
      <c r="C40" s="146" t="s">
        <v>30</v>
      </c>
      <c r="D40" s="146">
        <v>1</v>
      </c>
      <c r="E40" s="146"/>
      <c r="F40" s="201">
        <v>0.01</v>
      </c>
      <c r="G40" s="145">
        <f t="shared" si="6"/>
        <v>219658.69112</v>
      </c>
      <c r="H40" s="144">
        <f t="shared" si="7"/>
        <v>0.01</v>
      </c>
    </row>
    <row r="41" spans="1:8" ht="15" customHeight="1">
      <c r="A41" s="288" t="s">
        <v>439</v>
      </c>
      <c r="B41" s="289"/>
      <c r="C41" s="146" t="s">
        <v>30</v>
      </c>
      <c r="D41" s="146">
        <v>1</v>
      </c>
      <c r="E41" s="146"/>
      <c r="F41" s="201">
        <v>2.5000000000000001E-2</v>
      </c>
      <c r="G41" s="145">
        <f t="shared" si="6"/>
        <v>549146.72779999999</v>
      </c>
      <c r="H41" s="144">
        <f t="shared" si="7"/>
        <v>2.5000000000000001E-2</v>
      </c>
    </row>
    <row r="42" spans="1:8">
      <c r="A42" s="270" t="s">
        <v>389</v>
      </c>
      <c r="B42" s="271"/>
      <c r="C42" s="271"/>
      <c r="D42" s="271"/>
      <c r="E42" s="271"/>
      <c r="F42" s="271"/>
      <c r="G42" s="147">
        <f>SUM(G37:G41)</f>
        <v>3185051.0212400001</v>
      </c>
      <c r="H42" s="148">
        <f>SUM(H37:H41)</f>
        <v>0.14500000000000002</v>
      </c>
    </row>
    <row r="43" spans="1:8" ht="21.75" customHeight="1">
      <c r="A43" s="296" t="s">
        <v>391</v>
      </c>
      <c r="B43" s="297"/>
      <c r="C43" s="297"/>
      <c r="D43" s="297"/>
      <c r="E43" s="297"/>
      <c r="F43" s="297"/>
      <c r="G43" s="297"/>
      <c r="H43" s="298"/>
    </row>
    <row r="44" spans="1:8">
      <c r="A44" s="299" t="s">
        <v>31</v>
      </c>
      <c r="B44" s="300"/>
      <c r="C44" s="300"/>
      <c r="D44" s="300"/>
      <c r="E44" s="300"/>
      <c r="F44" s="300"/>
      <c r="G44" s="149" t="s">
        <v>392</v>
      </c>
      <c r="H44" s="150" t="s">
        <v>369</v>
      </c>
    </row>
    <row r="45" spans="1:8">
      <c r="A45" s="284" t="s">
        <v>393</v>
      </c>
      <c r="B45" s="285"/>
      <c r="C45" s="285"/>
      <c r="D45" s="285"/>
      <c r="E45" s="285"/>
      <c r="F45" s="285"/>
      <c r="G45" s="151">
        <f>G22</f>
        <v>1350000</v>
      </c>
      <c r="H45" s="144">
        <f>+H22</f>
        <v>6.1458984077369931E-2</v>
      </c>
    </row>
    <row r="46" spans="1:8">
      <c r="A46" s="284" t="s">
        <v>394</v>
      </c>
      <c r="B46" s="285"/>
      <c r="C46" s="285"/>
      <c r="D46" s="285"/>
      <c r="E46" s="285"/>
      <c r="F46" s="285"/>
      <c r="G46" s="151">
        <f>+G34</f>
        <v>281855.2780312</v>
      </c>
      <c r="H46" s="144">
        <f>+H34</f>
        <v>1.2831510403438664E-2</v>
      </c>
    </row>
    <row r="47" spans="1:8">
      <c r="A47" s="284" t="s">
        <v>395</v>
      </c>
      <c r="B47" s="285"/>
      <c r="C47" s="285"/>
      <c r="D47" s="285"/>
      <c r="E47" s="285"/>
      <c r="F47" s="285"/>
      <c r="G47" s="141">
        <f>+G42</f>
        <v>3185051.0212400001</v>
      </c>
      <c r="H47" s="144">
        <f>+H42</f>
        <v>0.14500000000000002</v>
      </c>
    </row>
    <row r="48" spans="1:8">
      <c r="A48" s="299" t="s">
        <v>396</v>
      </c>
      <c r="B48" s="300"/>
      <c r="C48" s="300"/>
      <c r="D48" s="300"/>
      <c r="E48" s="300"/>
      <c r="F48" s="300"/>
      <c r="G48" s="142">
        <f>SUM(G45:G47)</f>
        <v>4816906.2992711999</v>
      </c>
      <c r="H48" s="148">
        <f>SUM(H45:H47)</f>
        <v>0.21929049448080862</v>
      </c>
    </row>
    <row r="49" spans="1:9">
      <c r="A49" s="152"/>
      <c r="B49" s="117"/>
      <c r="C49" s="117"/>
      <c r="D49" s="117"/>
      <c r="E49" s="117"/>
      <c r="F49" s="117"/>
      <c r="G49" s="117"/>
      <c r="H49" s="153"/>
    </row>
    <row r="50" spans="1:9">
      <c r="A50" s="290" t="s">
        <v>397</v>
      </c>
      <c r="B50" s="291"/>
      <c r="C50" s="291"/>
      <c r="D50" s="291"/>
      <c r="E50" s="291"/>
      <c r="F50" s="291"/>
      <c r="G50" s="291"/>
      <c r="H50" s="301"/>
    </row>
    <row r="51" spans="1:9">
      <c r="A51" s="299" t="s">
        <v>31</v>
      </c>
      <c r="B51" s="300"/>
      <c r="C51" s="300"/>
      <c r="D51" s="300"/>
      <c r="E51" s="300"/>
      <c r="F51" s="300"/>
      <c r="G51" s="149" t="s">
        <v>392</v>
      </c>
      <c r="H51" s="150" t="s">
        <v>369</v>
      </c>
    </row>
    <row r="52" spans="1:9">
      <c r="A52" s="284" t="s">
        <v>398</v>
      </c>
      <c r="B52" s="285"/>
      <c r="C52" s="285"/>
      <c r="D52" s="285"/>
      <c r="E52" s="285"/>
      <c r="F52" s="285"/>
      <c r="G52" s="141">
        <f>+G48</f>
        <v>4816906.2992711999</v>
      </c>
      <c r="H52" s="144">
        <f>ROUNDDOWN(+H48,2)</f>
        <v>0.21</v>
      </c>
      <c r="I52" s="154"/>
    </row>
    <row r="53" spans="1:9">
      <c r="A53" s="284" t="s">
        <v>399</v>
      </c>
      <c r="B53" s="285"/>
      <c r="C53" s="285"/>
      <c r="D53" s="285"/>
      <c r="E53" s="285"/>
      <c r="F53" s="285"/>
      <c r="G53" s="151"/>
      <c r="H53" s="144"/>
    </row>
    <row r="54" spans="1:9">
      <c r="A54" s="284" t="s">
        <v>28</v>
      </c>
      <c r="B54" s="285"/>
      <c r="C54" s="285"/>
      <c r="D54" s="285"/>
      <c r="E54" s="285"/>
      <c r="F54" s="285"/>
      <c r="G54" s="151">
        <f>+H54*C7</f>
        <v>1098293.4556</v>
      </c>
      <c r="H54" s="155">
        <v>0.05</v>
      </c>
    </row>
    <row r="55" spans="1:9" ht="15.75" thickBot="1">
      <c r="A55" s="294" t="s">
        <v>400</v>
      </c>
      <c r="B55" s="295"/>
      <c r="C55" s="295"/>
      <c r="D55" s="295"/>
      <c r="E55" s="295"/>
      <c r="F55" s="295"/>
      <c r="G55" s="156">
        <f>SUM(G52:G54)</f>
        <v>5915199.7548711998</v>
      </c>
      <c r="H55" s="202">
        <f>SUM(H52:H54)</f>
        <v>0.26</v>
      </c>
    </row>
  </sheetData>
  <protectedRanges>
    <protectedRange sqref="A41:B41 A38:B40" name="Tasas"/>
    <protectedRange sqref="F38:F41" name="Tasas_1"/>
  </protectedRanges>
  <mergeCells count="55">
    <mergeCell ref="A42:F42"/>
    <mergeCell ref="A41:B41"/>
    <mergeCell ref="A55:F55"/>
    <mergeCell ref="A43:H43"/>
    <mergeCell ref="A44:F44"/>
    <mergeCell ref="A45:F45"/>
    <mergeCell ref="A46:F46"/>
    <mergeCell ref="A47:F47"/>
    <mergeCell ref="A48:F48"/>
    <mergeCell ref="A50:H50"/>
    <mergeCell ref="A51:F51"/>
    <mergeCell ref="A52:F52"/>
    <mergeCell ref="A53:F53"/>
    <mergeCell ref="A54:F54"/>
    <mergeCell ref="A36:B36"/>
    <mergeCell ref="A37:B37"/>
    <mergeCell ref="A38:B38"/>
    <mergeCell ref="A40:B40"/>
    <mergeCell ref="A39:B39"/>
    <mergeCell ref="A35:H35"/>
    <mergeCell ref="A23:H23"/>
    <mergeCell ref="A24:B24"/>
    <mergeCell ref="A25:B25"/>
    <mergeCell ref="A26:B26"/>
    <mergeCell ref="A27:B27"/>
    <mergeCell ref="A28:B28"/>
    <mergeCell ref="A29:B29"/>
    <mergeCell ref="A30:B30"/>
    <mergeCell ref="A33:B33"/>
    <mergeCell ref="A34:F34"/>
    <mergeCell ref="A31:B31"/>
    <mergeCell ref="A32:B32"/>
    <mergeCell ref="A22:F22"/>
    <mergeCell ref="A10:H10"/>
    <mergeCell ref="A11:H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18:B18"/>
    <mergeCell ref="A6:H6"/>
    <mergeCell ref="C7:D7"/>
    <mergeCell ref="H7:H9"/>
    <mergeCell ref="A8:C8"/>
    <mergeCell ref="C9:D9"/>
    <mergeCell ref="A3:H3"/>
    <mergeCell ref="A4:H4"/>
    <mergeCell ref="A1:F1"/>
    <mergeCell ref="A2:F2"/>
    <mergeCell ref="G1:H2"/>
  </mergeCells>
  <pageMargins left="0.25" right="0.25" top="0.75" bottom="0.75" header="0.3" footer="0.3"/>
  <pageSetup scale="7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F27F7-7DFA-42AD-A230-95C3BF6CB477}">
  <sheetPr>
    <tabColor theme="5" tint="0.79998168889431442"/>
  </sheetPr>
  <dimension ref="A1:D22"/>
  <sheetViews>
    <sheetView workbookViewId="0">
      <selection activeCell="A23" sqref="A23"/>
    </sheetView>
  </sheetViews>
  <sheetFormatPr baseColWidth="10" defaultColWidth="11.42578125" defaultRowHeight="12.75"/>
  <cols>
    <col min="1" max="1" width="25.7109375" style="52" customWidth="1"/>
    <col min="2" max="2" width="20.5703125" style="52" customWidth="1"/>
    <col min="3" max="3" width="11.42578125" style="52"/>
    <col min="4" max="4" width="15.28515625" style="52" customWidth="1"/>
    <col min="5" max="5" width="21.140625" style="52" customWidth="1"/>
    <col min="6" max="16384" width="11.42578125" style="52"/>
  </cols>
  <sheetData>
    <row r="1" spans="1:4" ht="21.75" customHeight="1">
      <c r="A1" s="51" t="s">
        <v>41</v>
      </c>
      <c r="B1" s="51" t="s">
        <v>24</v>
      </c>
    </row>
    <row r="2" spans="1:4" ht="15">
      <c r="A2" s="53" t="s">
        <v>42</v>
      </c>
      <c r="B2" s="54">
        <v>60000</v>
      </c>
      <c r="C2" s="52">
        <v>30</v>
      </c>
      <c r="D2" s="163">
        <f>B2*C2</f>
        <v>1800000</v>
      </c>
    </row>
    <row r="3" spans="1:4" ht="15">
      <c r="A3" s="55" t="s">
        <v>43</v>
      </c>
      <c r="B3" s="56">
        <f>1.6*B2</f>
        <v>96000</v>
      </c>
      <c r="C3" s="52">
        <v>30</v>
      </c>
      <c r="D3" s="163">
        <f t="shared" ref="D3:D5" si="0">B3*C3</f>
        <v>2880000</v>
      </c>
    </row>
    <row r="4" spans="1:4" ht="15">
      <c r="A4" s="57" t="s">
        <v>44</v>
      </c>
      <c r="B4" s="58">
        <f>1.8*B2</f>
        <v>108000</v>
      </c>
      <c r="C4" s="52">
        <v>30</v>
      </c>
      <c r="D4" s="163">
        <f t="shared" si="0"/>
        <v>3240000</v>
      </c>
    </row>
    <row r="5" spans="1:4" ht="15">
      <c r="A5" s="59" t="s">
        <v>45</v>
      </c>
      <c r="B5" s="60">
        <f>B2*1.6</f>
        <v>96000</v>
      </c>
      <c r="C5" s="52">
        <v>30</v>
      </c>
      <c r="D5" s="163">
        <f t="shared" si="0"/>
        <v>2880000</v>
      </c>
    </row>
    <row r="6" spans="1:4" ht="13.5" thickBot="1">
      <c r="A6" s="61" t="s">
        <v>46</v>
      </c>
      <c r="B6" s="61"/>
    </row>
    <row r="7" spans="1:4" ht="15">
      <c r="A7" s="62" t="s">
        <v>47</v>
      </c>
      <c r="B7" s="63">
        <f>$B$3+$B$2</f>
        <v>156000</v>
      </c>
    </row>
    <row r="8" spans="1:4" ht="15">
      <c r="A8" s="64" t="s">
        <v>48</v>
      </c>
      <c r="B8" s="65">
        <f>$B$3+2*$B$2</f>
        <v>216000</v>
      </c>
    </row>
    <row r="9" spans="1:4" ht="15">
      <c r="A9" s="64" t="s">
        <v>49</v>
      </c>
      <c r="B9" s="65">
        <f>$B$3+3*$B$2</f>
        <v>276000</v>
      </c>
    </row>
    <row r="10" spans="1:4" ht="15">
      <c r="A10" s="64" t="s">
        <v>50</v>
      </c>
      <c r="B10" s="65">
        <f>$B$3+4*$B$2</f>
        <v>336000</v>
      </c>
    </row>
    <row r="11" spans="1:4" ht="15">
      <c r="A11" s="64" t="s">
        <v>51</v>
      </c>
      <c r="B11" s="65">
        <f>$B$3+5*$B$2</f>
        <v>396000</v>
      </c>
    </row>
    <row r="12" spans="1:4" ht="15">
      <c r="A12" s="64" t="s">
        <v>52</v>
      </c>
      <c r="B12" s="65">
        <f>$B$3+6*$B$2</f>
        <v>456000</v>
      </c>
    </row>
    <row r="13" spans="1:4" ht="15.75" thickBot="1">
      <c r="A13" s="66" t="s">
        <v>53</v>
      </c>
      <c r="B13" s="67">
        <f>$B$3+7*$B$2</f>
        <v>516000</v>
      </c>
    </row>
    <row r="14" spans="1:4" ht="15">
      <c r="A14" s="68" t="s">
        <v>54</v>
      </c>
      <c r="B14" s="63">
        <f>2*$B$3+2*$B$2</f>
        <v>312000</v>
      </c>
    </row>
    <row r="15" spans="1:4" ht="15">
      <c r="A15" s="69" t="s">
        <v>55</v>
      </c>
      <c r="B15" s="65">
        <f>2*$B$3+4*$B$2</f>
        <v>432000</v>
      </c>
    </row>
    <row r="16" spans="1:4" ht="15">
      <c r="A16" s="69" t="s">
        <v>56</v>
      </c>
      <c r="B16" s="65">
        <f>2*$B$3+6*$B$2</f>
        <v>552000</v>
      </c>
    </row>
    <row r="17" spans="1:2" ht="15.75" thickBot="1">
      <c r="A17" s="70" t="s">
        <v>57</v>
      </c>
      <c r="B17" s="67">
        <f>2*$B$3+8*$B$2</f>
        <v>672000</v>
      </c>
    </row>
    <row r="18" spans="1:2" ht="15">
      <c r="A18" s="68" t="s">
        <v>58</v>
      </c>
      <c r="B18" s="63">
        <f>3*$B$3+3*$B$2</f>
        <v>468000</v>
      </c>
    </row>
    <row r="19" spans="1:2">
      <c r="A19" s="71" t="s">
        <v>59</v>
      </c>
      <c r="B19" s="72">
        <f>$B$2*2</f>
        <v>120000</v>
      </c>
    </row>
    <row r="20" spans="1:2">
      <c r="A20" s="71" t="s">
        <v>60</v>
      </c>
      <c r="B20" s="72">
        <f>$B$2*3</f>
        <v>180000</v>
      </c>
    </row>
    <row r="21" spans="1:2">
      <c r="A21" s="71" t="s">
        <v>61</v>
      </c>
      <c r="B21" s="72">
        <f>$B$2*4</f>
        <v>240000</v>
      </c>
    </row>
    <row r="22" spans="1:2">
      <c r="A22" s="73"/>
      <c r="B22" s="73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Detalle de Presupuesto</vt:lpstr>
      <vt:lpstr>APU</vt:lpstr>
      <vt:lpstr>Materiales</vt:lpstr>
      <vt:lpstr>CALCULO AU</vt:lpstr>
      <vt:lpstr>Mano de Obra</vt:lpstr>
      <vt:lpstr>APU!Área_de_impresión</vt:lpstr>
      <vt:lpstr>'CALCULO AU'!Área_de_impresión</vt:lpstr>
      <vt:lpstr>'Detalle de Presupuesto'!Área_de_impresión</vt:lpstr>
      <vt:lpstr>Cuadrilla</vt:lpstr>
      <vt:lpstr>DATOS</vt:lpstr>
      <vt:lpstr>Materiales!detalle</vt:lpstr>
      <vt:lpstr>Jornal</vt:lpstr>
      <vt:lpstr>mat</vt:lpstr>
      <vt:lpstr>Materiales</vt:lpstr>
      <vt:lpstr>sga</vt:lpstr>
      <vt:lpstr>'Detalle de Presupuesto'!Títulos_a_imprimir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2024-01-22T14:01:36Z</cp:lastPrinted>
  <dcterms:created xsi:type="dcterms:W3CDTF">2022-04-28T13:52:31Z</dcterms:created>
  <dcterms:modified xsi:type="dcterms:W3CDTF">2024-05-20T16:38:09Z</dcterms:modified>
</cp:coreProperties>
</file>